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0" yWindow="140" windowWidth="8460" windowHeight="6820" activeTab="0"/>
  </bookViews>
  <sheets>
    <sheet name="Sheet1" sheetId="1" r:id="rId1"/>
    <sheet name="Van cost appx" sheetId="2" r:id="rId2"/>
    <sheet name="Runing budget" sheetId="3" r:id="rId3"/>
  </sheets>
  <definedNames/>
  <calcPr fullCalcOnLoad="1"/>
</workbook>
</file>

<file path=xl/sharedStrings.xml><?xml version="1.0" encoding="utf-8"?>
<sst xmlns="http://schemas.openxmlformats.org/spreadsheetml/2006/main" count="138" uniqueCount="117">
  <si>
    <t>S.No</t>
  </si>
  <si>
    <t>Particulars</t>
  </si>
  <si>
    <t>Total esstimate amount</t>
  </si>
  <si>
    <t>Direct Aid for Childrens</t>
  </si>
  <si>
    <t xml:space="preserve">Food expenses for children </t>
  </si>
  <si>
    <t>2set uniforms, shoes, id cards for children</t>
  </si>
  <si>
    <t>Snacks and milk expenses for children</t>
  </si>
  <si>
    <t>Medical investication</t>
  </si>
  <si>
    <t>Medicine for childrens</t>
  </si>
  <si>
    <t>Children family food (milk) support</t>
  </si>
  <si>
    <t>Medical camps</t>
  </si>
  <si>
    <t>Personal hygince iteams for children</t>
  </si>
  <si>
    <t>Libaray matterials</t>
  </si>
  <si>
    <t>Pillow and matts for children</t>
  </si>
  <si>
    <t>Children day, disable day celabaration</t>
  </si>
  <si>
    <t>Tools and traning matterials for children</t>
  </si>
  <si>
    <t>Eduation matterials for children</t>
  </si>
  <si>
    <t>Finshed ortho equipment for need childrens (cailpers, splints,wheel chaire, carnot chaire)</t>
  </si>
  <si>
    <t>Childrens outing per year</t>
  </si>
  <si>
    <t>Miscellaneous expenses</t>
  </si>
  <si>
    <t>Staffs salarys</t>
  </si>
  <si>
    <t xml:space="preserve">Total staffs salary </t>
  </si>
  <si>
    <t>P.F. for the staffs</t>
  </si>
  <si>
    <t>Medical insurance for the staffs</t>
  </si>
  <si>
    <t>Administration cost</t>
  </si>
  <si>
    <t>Office supplies &amp; stationary</t>
  </si>
  <si>
    <t>Postage</t>
  </si>
  <si>
    <t>Photos and report works</t>
  </si>
  <si>
    <t>E.B.Bill for the building</t>
  </si>
  <si>
    <t>Staffs field vist petol cost</t>
  </si>
  <si>
    <t>Staffs travelling expenses</t>
  </si>
  <si>
    <t>Awarence to commuity and parents</t>
  </si>
  <si>
    <t>Total amount we recived from parents and local cotibutaions</t>
  </si>
  <si>
    <t>Total esstimate butget from asha foundation / year</t>
  </si>
  <si>
    <t>Sub details</t>
  </si>
  <si>
    <t>Staff details</t>
  </si>
  <si>
    <t>Co-ordinator</t>
  </si>
  <si>
    <t>Special eduactor</t>
  </si>
  <si>
    <t>Care taker</t>
  </si>
  <si>
    <t>Cook</t>
  </si>
  <si>
    <t>Total</t>
  </si>
  <si>
    <t>Rs/P</t>
  </si>
  <si>
    <t>Very poor children milk support</t>
  </si>
  <si>
    <t>3 camp expenses</t>
  </si>
  <si>
    <t>needed children only</t>
  </si>
  <si>
    <t>Cp/Mr books for children and parents</t>
  </si>
  <si>
    <t>All childrens</t>
  </si>
  <si>
    <t>Note book, Toys..</t>
  </si>
  <si>
    <t>bed boards, ealring matterials</t>
  </si>
  <si>
    <t>Telephone, Magazine &amp; fax charges</t>
  </si>
  <si>
    <t>appx</t>
  </si>
  <si>
    <t xml:space="preserve">notice, drama show, </t>
  </si>
  <si>
    <t>Total estimate Budget / year</t>
  </si>
  <si>
    <t>Rent for the school</t>
  </si>
  <si>
    <t>Driver</t>
  </si>
  <si>
    <t>Van road tax for the van</t>
  </si>
  <si>
    <t>3 month once</t>
  </si>
  <si>
    <t>Disesl for the van</t>
  </si>
  <si>
    <t>New van cost</t>
  </si>
  <si>
    <t>Vechical insurance for the two wheeler</t>
  </si>
  <si>
    <t xml:space="preserve">In direct expenses for children </t>
  </si>
  <si>
    <t>350 X 12 month</t>
  </si>
  <si>
    <t>Ass. Spl eduactor</t>
  </si>
  <si>
    <t>Speech therapist</t>
  </si>
  <si>
    <t>Physio therapist</t>
  </si>
  <si>
    <t>3.00 per children</t>
  </si>
  <si>
    <t>Total esstimate budget details</t>
  </si>
  <si>
    <t>Hariksha CP/MR Learning Center one year running budget</t>
  </si>
  <si>
    <t>Expected contribuition from Parents and Local Sponsor</t>
  </si>
  <si>
    <t>Proposed budget from Asha Foundation</t>
  </si>
  <si>
    <t>TATA Magic On road condition including registration and insurance</t>
  </si>
  <si>
    <t>7+1 seater</t>
  </si>
  <si>
    <t>Expected contribuition from Asha for the van</t>
  </si>
  <si>
    <t>Estimate Expenses for Hariksha Learning Center 2010 - 2011                                  (Magic van 7+1 seater)</t>
  </si>
  <si>
    <t>12 rs per head X 240 working days</t>
  </si>
  <si>
    <t>750.00 per children</t>
  </si>
  <si>
    <t>35.00 pr children full year app..</t>
  </si>
  <si>
    <t>100.00 X30 children X 12 month</t>
  </si>
  <si>
    <t>Staff outing</t>
  </si>
  <si>
    <t>7500 per month x 12 months</t>
  </si>
  <si>
    <t>Learning center Recognization expenses</t>
  </si>
  <si>
    <t>50.00Rs from 20 children/month/ others</t>
  </si>
  <si>
    <t>400.00 X 6 month</t>
  </si>
  <si>
    <t>No rent next two years</t>
  </si>
  <si>
    <t>375.00 / per month</t>
  </si>
  <si>
    <t>$ = 50.00</t>
  </si>
  <si>
    <t>Total expneses details  amount</t>
  </si>
  <si>
    <t>Balance amount</t>
  </si>
  <si>
    <t>Amount recived details</t>
  </si>
  <si>
    <t>Amount</t>
  </si>
  <si>
    <t xml:space="preserve">Date </t>
  </si>
  <si>
    <t>$</t>
  </si>
  <si>
    <t>Amount recived from Asha foundaton Chennai</t>
  </si>
  <si>
    <t>22.12.2010</t>
  </si>
  <si>
    <t>Balance</t>
  </si>
  <si>
    <t>Expenses for the Month of December -2010</t>
  </si>
  <si>
    <t>Van Rent</t>
  </si>
  <si>
    <t>Food expenses for the staffs/vistors</t>
  </si>
  <si>
    <t>Expenses for the Month of January -2011</t>
  </si>
  <si>
    <t>Expenses for the Month of February -2011</t>
  </si>
  <si>
    <t>Give india renewal chagesh</t>
  </si>
  <si>
    <t>Expenses for the Month of March -2011</t>
  </si>
  <si>
    <t>Children sitting chair</t>
  </si>
  <si>
    <t>Purchases of land 20 cents for CP/MR children - Avaloorpet</t>
  </si>
  <si>
    <t>Expenses for the Month of April -2011</t>
  </si>
  <si>
    <t>Expenses for the Month of May -2011</t>
  </si>
  <si>
    <t>Amount recived from Asha foundaton Irvine</t>
  </si>
  <si>
    <t>30.06.2011</t>
  </si>
  <si>
    <t>Expenses for the Month of June -2011</t>
  </si>
  <si>
    <t>Expenses for the Month of July -2011</t>
  </si>
  <si>
    <t>Expenses for the Month of August -2011</t>
  </si>
  <si>
    <t>Expenses for the Month of September -2011</t>
  </si>
  <si>
    <t>Expenses for the Month of October -2011</t>
  </si>
  <si>
    <t>Rs</t>
  </si>
  <si>
    <t>Repaire and maintance for the center &amp; van</t>
  </si>
  <si>
    <t>Expenses for the Month of November -2011</t>
  </si>
  <si>
    <t>09.11.2011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</si>
</sst>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_);_(* \(#,##0.0\);_(* &quot;-&quot;??_);_(@_)"/>
    <numFmt numFmtId="172" formatCode="_(* #,##0_);_(* \(#,##0\);_(* &quot;-&quot;??_);_(@_)"/>
  </numFmts>
  <fonts count="59">
    <font>
      <sz val="10"/>
      <name val="Arial"/>
      <family val="0"/>
    </font>
    <font>
      <sz val="8"/>
      <name val="Arial"/>
      <family val="0"/>
    </font>
    <font>
      <sz val="14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sz val="12"/>
      <name val="Arial"/>
      <family val="0"/>
    </font>
    <font>
      <b/>
      <sz val="12"/>
      <name val="Garamond"/>
      <family val="1"/>
    </font>
    <font>
      <b/>
      <sz val="12"/>
      <color indexed="10"/>
      <name val="Garamond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Garamond"/>
      <family val="1"/>
    </font>
    <font>
      <b/>
      <sz val="10"/>
      <color indexed="17"/>
      <name val="Garamond"/>
      <family val="1"/>
    </font>
    <font>
      <b/>
      <sz val="12"/>
      <color indexed="17"/>
      <name val="Garamond"/>
      <family val="1"/>
    </font>
    <font>
      <sz val="12"/>
      <name val="Times New Roman"/>
      <family val="1"/>
    </font>
    <font>
      <b/>
      <sz val="13"/>
      <name val="Garamond"/>
      <family val="1"/>
    </font>
    <font>
      <b/>
      <sz val="10"/>
      <color indexed="17"/>
      <name val="Arial"/>
      <family val="2"/>
    </font>
    <font>
      <b/>
      <sz val="14"/>
      <color indexed="17"/>
      <name val="Garamond"/>
      <family val="1"/>
    </font>
    <font>
      <b/>
      <sz val="13"/>
      <color indexed="12"/>
      <name val="Garamond"/>
      <family val="1"/>
    </font>
    <font>
      <b/>
      <sz val="14"/>
      <color indexed="12"/>
      <name val="Garamond"/>
      <family val="1"/>
    </font>
    <font>
      <b/>
      <sz val="14"/>
      <color indexed="62"/>
      <name val="Garamond"/>
      <family val="1"/>
    </font>
    <font>
      <b/>
      <sz val="10"/>
      <color indexed="62"/>
      <name val="Arial"/>
      <family val="2"/>
    </font>
    <font>
      <b/>
      <sz val="11"/>
      <color indexed="10"/>
      <name val="Garamond"/>
      <family val="1"/>
    </font>
    <font>
      <b/>
      <sz val="12"/>
      <name val="Rupee"/>
      <family val="0"/>
    </font>
    <font>
      <sz val="10"/>
      <name val="Garamond"/>
      <family val="1"/>
    </font>
    <font>
      <b/>
      <sz val="12"/>
      <color indexed="12"/>
      <name val="Garamond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43" fontId="4" fillId="0" borderId="0" xfId="42" applyFont="1" applyAlignment="1">
      <alignment horizontal="center" vertical="center" wrapText="1"/>
    </xf>
    <xf numFmtId="43" fontId="6" fillId="0" borderId="0" xfId="42" applyFont="1" applyAlignment="1">
      <alignment horizontal="center" vertical="center" wrapText="1"/>
    </xf>
    <xf numFmtId="43" fontId="4" fillId="0" borderId="0" xfId="42" applyFont="1" applyAlignment="1">
      <alignment/>
    </xf>
    <xf numFmtId="43" fontId="12" fillId="0" borderId="0" xfId="42" applyFont="1" applyAlignment="1">
      <alignment/>
    </xf>
    <xf numFmtId="43" fontId="2" fillId="0" borderId="0" xfId="0" applyNumberFormat="1" applyFont="1" applyAlignment="1">
      <alignment horizontal="left"/>
    </xf>
    <xf numFmtId="43" fontId="2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3" fontId="3" fillId="0" borderId="0" xfId="0" applyNumberFormat="1" applyFont="1" applyFill="1" applyAlignment="1">
      <alignment/>
    </xf>
    <xf numFmtId="43" fontId="10" fillId="0" borderId="0" xfId="42" applyFont="1" applyAlignment="1">
      <alignment horizontal="center" vertical="center"/>
    </xf>
    <xf numFmtId="0" fontId="0" fillId="0" borderId="0" xfId="0" applyAlignment="1">
      <alignment horizontal="center" vertical="center"/>
    </xf>
    <xf numFmtId="8" fontId="2" fillId="0" borderId="0" xfId="0" applyNumberFormat="1" applyFont="1" applyAlignment="1">
      <alignment/>
    </xf>
    <xf numFmtId="0" fontId="7" fillId="0" borderId="0" xfId="0" applyFont="1" applyAlignment="1">
      <alignment horizontal="center" wrapText="1"/>
    </xf>
    <xf numFmtId="0" fontId="20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43" fontId="10" fillId="0" borderId="0" xfId="0" applyNumberFormat="1" applyFont="1" applyFill="1" applyAlignment="1">
      <alignment vertical="center"/>
    </xf>
    <xf numFmtId="43" fontId="19" fillId="0" borderId="0" xfId="42" applyFont="1" applyAlignment="1">
      <alignment vertical="center"/>
    </xf>
    <xf numFmtId="43" fontId="16" fillId="0" borderId="0" xfId="42" applyFont="1" applyAlignment="1">
      <alignment vertical="center"/>
    </xf>
    <xf numFmtId="43" fontId="18" fillId="0" borderId="0" xfId="0" applyNumberFormat="1" applyFont="1" applyFill="1" applyAlignment="1">
      <alignment vertical="center"/>
    </xf>
    <xf numFmtId="43" fontId="22" fillId="0" borderId="0" xfId="42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43" fontId="3" fillId="33" borderId="0" xfId="42" applyFont="1" applyFill="1" applyAlignment="1">
      <alignment/>
    </xf>
    <xf numFmtId="43" fontId="2" fillId="0" borderId="0" xfId="42" applyFont="1" applyAlignment="1">
      <alignment horizontal="center"/>
    </xf>
    <xf numFmtId="43" fontId="3" fillId="0" borderId="0" xfId="42" applyFont="1" applyAlignment="1">
      <alignment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3" fontId="16" fillId="0" borderId="0" xfId="0" applyNumberFormat="1" applyFont="1" applyAlignment="1">
      <alignment vertical="center"/>
    </xf>
    <xf numFmtId="43" fontId="10" fillId="0" borderId="0" xfId="0" applyNumberFormat="1" applyFont="1" applyAlignment="1">
      <alignment vertical="center"/>
    </xf>
    <xf numFmtId="43" fontId="3" fillId="33" borderId="0" xfId="0" applyNumberFormat="1" applyFont="1" applyFill="1" applyAlignment="1">
      <alignment vertical="center"/>
    </xf>
    <xf numFmtId="43" fontId="18" fillId="0" borderId="0" xfId="0" applyNumberFormat="1" applyFont="1" applyAlignment="1">
      <alignment vertical="center"/>
    </xf>
    <xf numFmtId="43" fontId="7" fillId="0" borderId="0" xfId="42" applyFont="1" applyAlignment="1">
      <alignment/>
    </xf>
    <xf numFmtId="43" fontId="24" fillId="0" borderId="0" xfId="42" applyFont="1" applyAlignment="1">
      <alignment/>
    </xf>
    <xf numFmtId="0" fontId="4" fillId="0" borderId="0" xfId="0" applyFont="1" applyAlignment="1">
      <alignment vertical="center" wrapText="1"/>
    </xf>
    <xf numFmtId="172" fontId="3" fillId="0" borderId="0" xfId="42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C3">
      <selection activeCell="E16" sqref="E16"/>
    </sheetView>
  </sheetViews>
  <sheetFormatPr defaultColWidth="8.8515625" defaultRowHeight="12.75"/>
  <cols>
    <col min="1" max="1" width="6.28125" style="0" customWidth="1"/>
    <col min="2" max="2" width="51.140625" style="0" customWidth="1"/>
    <col min="3" max="3" width="16.8515625" style="0" customWidth="1"/>
    <col min="4" max="4" width="17.00390625" style="0" customWidth="1"/>
    <col min="5" max="5" width="16.421875" style="0" customWidth="1"/>
  </cols>
  <sheetData>
    <row r="1" spans="1:5" ht="105">
      <c r="A1" s="23" t="s">
        <v>0</v>
      </c>
      <c r="B1" s="22" t="s">
        <v>1</v>
      </c>
      <c r="C1" s="23" t="s">
        <v>73</v>
      </c>
      <c r="D1" s="23" t="s">
        <v>86</v>
      </c>
      <c r="E1" s="23" t="s">
        <v>87</v>
      </c>
    </row>
    <row r="2" spans="2:5" ht="15.75">
      <c r="B2" s="12"/>
      <c r="C2" s="36" t="s">
        <v>113</v>
      </c>
      <c r="D2" s="36" t="s">
        <v>113</v>
      </c>
      <c r="E2" s="36" t="s">
        <v>113</v>
      </c>
    </row>
    <row r="3" spans="2:5" s="26" customFormat="1" ht="13.5">
      <c r="B3" s="12" t="s">
        <v>66</v>
      </c>
      <c r="D3" s="42"/>
      <c r="E3" s="42"/>
    </row>
    <row r="4" spans="1:5" ht="34.5" customHeight="1">
      <c r="A4" s="23">
        <v>1</v>
      </c>
      <c r="B4" s="28" t="s">
        <v>67</v>
      </c>
      <c r="C4" s="32">
        <f>'Runing budget'!C46</f>
        <v>900834.5</v>
      </c>
      <c r="D4" s="45">
        <f>'Runing budget'!D46+'Runing budget'!E48+'Runing budget'!F48+'Runing budget'!G48+'Runing budget'!H48+'Runing budget'!I48+'Runing budget'!J48+'Runing budget'!K48+'Runing budget'!L48+'Runing budget'!M48+'Runing budget'!N48+'Runing budget'!O48</f>
        <v>1099417.5</v>
      </c>
      <c r="E4" s="45">
        <v>127284.5</v>
      </c>
    </row>
    <row r="5" spans="1:5" ht="34.5" customHeight="1">
      <c r="A5" s="23">
        <v>2</v>
      </c>
      <c r="B5" s="29" t="s">
        <v>72</v>
      </c>
      <c r="C5" s="33">
        <f>'Van cost appx'!C1</f>
        <v>380000</v>
      </c>
      <c r="D5" s="44"/>
      <c r="E5" s="46">
        <f>C5-D5</f>
        <v>380000</v>
      </c>
    </row>
    <row r="6" spans="1:5" ht="34.5" customHeight="1">
      <c r="A6" s="23">
        <v>3</v>
      </c>
      <c r="B6" s="30" t="s">
        <v>68</v>
      </c>
      <c r="C6" s="34">
        <f>'Runing budget'!C47</f>
        <v>30000</v>
      </c>
      <c r="D6" s="46">
        <f>'Runing budget'!D47+'Runing budget'!E47+'Runing budget'!F47+'Runing budget'!G47+'Runing budget'!H47+'Runing budget'!I47+'Runing budget'!J47+'Runing budget'!K47+'Runing budget'!L47+'Runing budget'!M47+'Runing budget'!N47+'Runing budget'!O47</f>
        <v>433838</v>
      </c>
      <c r="E6" s="45">
        <f>C6-D6</f>
        <v>-403838</v>
      </c>
    </row>
    <row r="7" spans="1:5" ht="34.5" customHeight="1">
      <c r="A7" s="23"/>
      <c r="B7" s="31" t="s">
        <v>69</v>
      </c>
      <c r="C7" s="35">
        <f>C4+C5-C6</f>
        <v>1250834.5</v>
      </c>
      <c r="D7" s="47">
        <f>C13+C14+C15</f>
        <v>805957.7</v>
      </c>
      <c r="E7" s="48">
        <v>660351.74</v>
      </c>
    </row>
    <row r="8" spans="2:5" ht="16.5">
      <c r="B8" s="31" t="s">
        <v>85</v>
      </c>
      <c r="C8" s="24">
        <f>C7/50</f>
        <v>25016.69</v>
      </c>
      <c r="D8" s="43"/>
      <c r="E8" s="43"/>
    </row>
    <row r="11" spans="1:5" ht="16.5">
      <c r="A11" s="53" t="s">
        <v>88</v>
      </c>
      <c r="B11" s="53"/>
      <c r="C11" s="37" t="s">
        <v>89</v>
      </c>
      <c r="D11" s="37" t="s">
        <v>90</v>
      </c>
      <c r="E11" s="37" t="s">
        <v>91</v>
      </c>
    </row>
    <row r="12" spans="1:5" ht="16.5">
      <c r="A12" s="53"/>
      <c r="B12" s="53"/>
      <c r="C12" s="38"/>
      <c r="D12" s="37"/>
      <c r="E12" s="37"/>
    </row>
    <row r="13" spans="1:5" ht="16.5">
      <c r="A13" s="54" t="s">
        <v>92</v>
      </c>
      <c r="B13" s="54"/>
      <c r="C13" s="39">
        <v>65500</v>
      </c>
      <c r="D13" s="40" t="s">
        <v>93</v>
      </c>
      <c r="E13" s="38"/>
    </row>
    <row r="14" spans="1:5" ht="16.5">
      <c r="A14" s="54" t="s">
        <v>106</v>
      </c>
      <c r="B14" s="54"/>
      <c r="C14" s="39">
        <v>524982.76</v>
      </c>
      <c r="D14" s="40" t="s">
        <v>107</v>
      </c>
      <c r="E14" s="52">
        <v>11794</v>
      </c>
    </row>
    <row r="15" spans="1:5" ht="16.5">
      <c r="A15" s="54" t="s">
        <v>106</v>
      </c>
      <c r="B15" s="54"/>
      <c r="C15" s="39">
        <v>215474.94</v>
      </c>
      <c r="D15" s="40" t="s">
        <v>116</v>
      </c>
      <c r="E15" s="52">
        <v>4417</v>
      </c>
    </row>
    <row r="16" spans="1:5" ht="16.5">
      <c r="A16" s="53" t="s">
        <v>40</v>
      </c>
      <c r="B16" s="53"/>
      <c r="C16" s="41"/>
      <c r="D16" s="37"/>
      <c r="E16" s="38"/>
    </row>
  </sheetData>
  <sheetProtection/>
  <mergeCells count="6">
    <mergeCell ref="A16:B16"/>
    <mergeCell ref="A11:B11"/>
    <mergeCell ref="A12:B12"/>
    <mergeCell ref="A13:B13"/>
    <mergeCell ref="A14:B14"/>
    <mergeCell ref="A15:B15"/>
  </mergeCells>
  <printOptions gridLines="1" horizontalCentered="1" verticalCentered="1"/>
  <pageMargins left="0.75" right="0.75" top="1" bottom="1" header="0.5" footer="0.5"/>
  <pageSetup horizontalDpi="1200" verticalDpi="1200" orientation="landscape"/>
  <headerFooter alignWithMargins="0">
    <oddHeader>&amp;C&amp;"Monotype Corsiva,Regular"&amp;16Hariksha Learning center for 30 CP/MR  Children Budget Proposal 2010-2011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"/>
  <sheetViews>
    <sheetView workbookViewId="0" topLeftCell="A1">
      <selection activeCell="C14" sqref="C14"/>
    </sheetView>
  </sheetViews>
  <sheetFormatPr defaultColWidth="8.8515625" defaultRowHeight="12.75"/>
  <cols>
    <col min="1" max="1" width="8.8515625" style="0" customWidth="1"/>
    <col min="2" max="2" width="7.140625" style="0" customWidth="1"/>
    <col min="3" max="3" width="14.8515625" style="0" customWidth="1"/>
    <col min="4" max="7" width="8.8515625" style="0" customWidth="1"/>
    <col min="8" max="8" width="5.140625" style="0" customWidth="1"/>
    <col min="9" max="9" width="3.140625" style="0" hidden="1" customWidth="1"/>
    <col min="10" max="10" width="0.71875" style="0" hidden="1" customWidth="1"/>
    <col min="11" max="11" width="11.140625" style="0" bestFit="1" customWidth="1"/>
  </cols>
  <sheetData>
    <row r="1" spans="1:11" s="26" customFormat="1" ht="49.5" customHeight="1">
      <c r="A1" s="56" t="s">
        <v>58</v>
      </c>
      <c r="B1" s="56"/>
      <c r="C1" s="25">
        <v>380000</v>
      </c>
      <c r="D1" s="55" t="s">
        <v>70</v>
      </c>
      <c r="E1" s="55"/>
      <c r="F1" s="55"/>
      <c r="G1" s="55"/>
      <c r="H1" s="55"/>
      <c r="I1" s="55"/>
      <c r="J1" s="55"/>
      <c r="K1" s="26" t="s">
        <v>71</v>
      </c>
    </row>
  </sheetData>
  <sheetProtection/>
  <mergeCells count="2">
    <mergeCell ref="D1:J1"/>
    <mergeCell ref="A1:B1"/>
  </mergeCells>
  <printOptions gridLines="1" horizontalCentered="1" verticalCentered="1"/>
  <pageMargins left="0.75" right="0.75" top="1" bottom="1" header="0.5" footer="0.5"/>
  <pageSetup horizontalDpi="1200" verticalDpi="1200" orientation="portrait"/>
  <headerFooter alignWithMargins="0">
    <oddHeader xml:space="preserve">&amp;C&amp;"Monotype Corsiva,Regular"&amp;18Van Budget proposal for 30 CP/MR children Learning center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79"/>
  <sheetViews>
    <sheetView workbookViewId="0" topLeftCell="A31">
      <selection activeCell="O55" sqref="O55"/>
    </sheetView>
  </sheetViews>
  <sheetFormatPr defaultColWidth="9.140625" defaultRowHeight="12.75"/>
  <cols>
    <col min="1" max="1" width="5.28125" style="0" customWidth="1"/>
    <col min="2" max="2" width="39.421875" style="8" bestFit="1" customWidth="1"/>
    <col min="3" max="3" width="13.140625" style="0" bestFit="1" customWidth="1"/>
    <col min="4" max="4" width="0.85546875" style="0" customWidth="1"/>
    <col min="5" max="6" width="0.71875" style="0" customWidth="1"/>
    <col min="7" max="9" width="0.85546875" style="0" customWidth="1"/>
    <col min="10" max="11" width="0.71875" style="0" customWidth="1"/>
    <col min="12" max="12" width="0.85546875" style="0" customWidth="1"/>
    <col min="13" max="13" width="0.71875" style="0" customWidth="1"/>
    <col min="14" max="15" width="12.8515625" style="0" customWidth="1"/>
    <col min="16" max="16" width="14.00390625" style="0" bestFit="1" customWidth="1"/>
    <col min="17" max="17" width="18.28125" style="0" customWidth="1"/>
    <col min="18" max="18" width="12.421875" style="0" customWidth="1"/>
  </cols>
  <sheetData>
    <row r="1" spans="1:20" ht="90" customHeight="1">
      <c r="A1" s="3" t="s">
        <v>0</v>
      </c>
      <c r="B1" s="3" t="s">
        <v>1</v>
      </c>
      <c r="C1" s="4" t="s">
        <v>2</v>
      </c>
      <c r="D1" s="4" t="s">
        <v>95</v>
      </c>
      <c r="E1" s="4" t="s">
        <v>98</v>
      </c>
      <c r="F1" s="4" t="s">
        <v>99</v>
      </c>
      <c r="G1" s="4" t="s">
        <v>101</v>
      </c>
      <c r="H1" s="4" t="s">
        <v>104</v>
      </c>
      <c r="I1" s="4" t="s">
        <v>105</v>
      </c>
      <c r="J1" s="4" t="s">
        <v>108</v>
      </c>
      <c r="K1" s="4" t="s">
        <v>109</v>
      </c>
      <c r="L1" s="4" t="s">
        <v>110</v>
      </c>
      <c r="M1" s="4" t="s">
        <v>111</v>
      </c>
      <c r="N1" s="4" t="s">
        <v>112</v>
      </c>
      <c r="O1" s="4" t="s">
        <v>115</v>
      </c>
      <c r="P1" s="4" t="s">
        <v>94</v>
      </c>
      <c r="Q1" s="60" t="s">
        <v>34</v>
      </c>
      <c r="R1" s="60"/>
      <c r="S1" s="1"/>
      <c r="T1" s="1"/>
    </row>
    <row r="2" spans="1:20" ht="48">
      <c r="A2" s="12"/>
      <c r="B2" s="13"/>
      <c r="C2" s="36" t="s">
        <v>113</v>
      </c>
      <c r="D2" s="36" t="s">
        <v>113</v>
      </c>
      <c r="E2" s="36" t="s">
        <v>113</v>
      </c>
      <c r="F2" s="36" t="s">
        <v>113</v>
      </c>
      <c r="G2" s="36" t="s">
        <v>113</v>
      </c>
      <c r="H2" s="36" t="s">
        <v>113</v>
      </c>
      <c r="I2" s="36" t="s">
        <v>113</v>
      </c>
      <c r="J2" s="36" t="s">
        <v>113</v>
      </c>
      <c r="K2" s="36" t="s">
        <v>113</v>
      </c>
      <c r="L2" s="36" t="s">
        <v>113</v>
      </c>
      <c r="M2" s="36" t="s">
        <v>113</v>
      </c>
      <c r="N2" s="36" t="s">
        <v>113</v>
      </c>
      <c r="O2" s="36" t="s">
        <v>113</v>
      </c>
      <c r="P2" s="36" t="s">
        <v>113</v>
      </c>
      <c r="Q2" s="57"/>
      <c r="R2" s="57"/>
      <c r="S2" s="1"/>
      <c r="T2" s="1"/>
    </row>
    <row r="3" spans="1:20" ht="18.75" customHeight="1">
      <c r="A3" s="59" t="s">
        <v>3</v>
      </c>
      <c r="B3" s="59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57"/>
      <c r="R3" s="57"/>
      <c r="S3" s="1"/>
      <c r="T3" s="1"/>
    </row>
    <row r="4" spans="1:20" s="11" customFormat="1" ht="15.75" customHeight="1">
      <c r="A4" s="5">
        <v>1</v>
      </c>
      <c r="B4" s="6" t="s">
        <v>4</v>
      </c>
      <c r="C4" s="15">
        <f>30*12*240</f>
        <v>86400</v>
      </c>
      <c r="D4" s="15">
        <f>1250+75+200+150+125+1664.5+6472</f>
        <v>9936.5</v>
      </c>
      <c r="E4" s="15">
        <f>30+200+150+40+1307+7423</f>
        <v>9150</v>
      </c>
      <c r="F4" s="15">
        <f>125+455+7301+1111</f>
        <v>8992</v>
      </c>
      <c r="G4" s="15">
        <f>3031+7301</f>
        <v>10332</v>
      </c>
      <c r="H4" s="15">
        <f>30+180+680+781+5310</f>
        <v>6981</v>
      </c>
      <c r="I4" s="15">
        <f>229+285+7538</f>
        <v>8052</v>
      </c>
      <c r="J4" s="15">
        <f>485+100+150+835+9009</f>
        <v>10579</v>
      </c>
      <c r="K4" s="15">
        <f>125+250+150+400+964+4479+4900</f>
        <v>11268</v>
      </c>
      <c r="L4" s="15">
        <f>160+320+35+1031+587+250+2067+355+2303+3600</f>
        <v>10708</v>
      </c>
      <c r="M4" s="15">
        <f>250+150+240+390+1140+873+525+1240+6490</f>
        <v>11298</v>
      </c>
      <c r="N4" s="15">
        <f>180+172+400+731+4225</f>
        <v>5708</v>
      </c>
      <c r="O4" s="15">
        <f>60+227+600+1273+1351+180+610+10491+260</f>
        <v>15052</v>
      </c>
      <c r="P4" s="15">
        <f aca="true" t="shared" si="0" ref="P4:P18">C4-D4-E4-F4-G4-H4-I4-J4-K4-L4-M4-N4-O4</f>
        <v>-31656.5</v>
      </c>
      <c r="Q4" s="57" t="s">
        <v>74</v>
      </c>
      <c r="R4" s="57"/>
      <c r="S4" s="10"/>
      <c r="T4" s="10"/>
    </row>
    <row r="5" spans="1:20" s="11" customFormat="1" ht="15.75" customHeight="1">
      <c r="A5" s="5">
        <f>A4+1</f>
        <v>2</v>
      </c>
      <c r="B5" s="6" t="s">
        <v>5</v>
      </c>
      <c r="C5" s="15">
        <f>750*30</f>
        <v>22500</v>
      </c>
      <c r="D5" s="15"/>
      <c r="E5" s="15">
        <f>965</f>
        <v>965</v>
      </c>
      <c r="F5" s="15"/>
      <c r="G5" s="15"/>
      <c r="H5" s="15"/>
      <c r="I5" s="15"/>
      <c r="J5" s="15">
        <f>2700+4256</f>
        <v>6956</v>
      </c>
      <c r="K5" s="15">
        <f>12999+500+5526</f>
        <v>19025</v>
      </c>
      <c r="L5" s="15">
        <f>2000+6987</f>
        <v>8987</v>
      </c>
      <c r="M5" s="15"/>
      <c r="N5" s="15">
        <v>2390</v>
      </c>
      <c r="O5" s="15">
        <v>80</v>
      </c>
      <c r="P5" s="15">
        <f t="shared" si="0"/>
        <v>-15903</v>
      </c>
      <c r="Q5" s="57" t="s">
        <v>75</v>
      </c>
      <c r="R5" s="57"/>
      <c r="S5" s="10"/>
      <c r="T5" s="10"/>
    </row>
    <row r="6" spans="1:20" s="11" customFormat="1" ht="15">
      <c r="A6" s="5">
        <f aca="true" t="shared" si="1" ref="A6:A35">A5+1</f>
        <v>3</v>
      </c>
      <c r="B6" s="6" t="s">
        <v>6</v>
      </c>
      <c r="C6" s="15">
        <f>3*30*240</f>
        <v>21600</v>
      </c>
      <c r="D6" s="15">
        <f>1096+520</f>
        <v>1616</v>
      </c>
      <c r="E6" s="15">
        <f>811+520</f>
        <v>1331</v>
      </c>
      <c r="F6" s="15">
        <f>520+1073</f>
        <v>1593</v>
      </c>
      <c r="G6" s="15">
        <f>1358.5+520</f>
        <v>1878.5</v>
      </c>
      <c r="H6" s="15">
        <f>940+520</f>
        <v>1460</v>
      </c>
      <c r="I6" s="15">
        <f>541+520</f>
        <v>1061</v>
      </c>
      <c r="J6" s="15">
        <f>1273+520</f>
        <v>1793</v>
      </c>
      <c r="K6" s="15">
        <f>1073+600</f>
        <v>1673</v>
      </c>
      <c r="L6" s="15">
        <f>1225+207</f>
        <v>1432</v>
      </c>
      <c r="M6" s="15">
        <f>1580+760</f>
        <v>2340</v>
      </c>
      <c r="N6" s="15">
        <f>160+941+1170+560</f>
        <v>2831</v>
      </c>
      <c r="O6" s="15"/>
      <c r="P6" s="15">
        <f t="shared" si="0"/>
        <v>2591.5</v>
      </c>
      <c r="Q6" s="57" t="s">
        <v>65</v>
      </c>
      <c r="R6" s="57"/>
      <c r="S6" s="10"/>
      <c r="T6" s="10"/>
    </row>
    <row r="7" spans="1:20" s="11" customFormat="1" ht="15.75" customHeight="1">
      <c r="A7" s="5">
        <f t="shared" si="1"/>
        <v>4</v>
      </c>
      <c r="B7" s="6" t="s">
        <v>7</v>
      </c>
      <c r="C7" s="15">
        <f>30*35</f>
        <v>1050</v>
      </c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>
        <f t="shared" si="0"/>
        <v>1050</v>
      </c>
      <c r="Q7" s="57" t="s">
        <v>76</v>
      </c>
      <c r="R7" s="57"/>
      <c r="S7" s="10"/>
      <c r="T7" s="10"/>
    </row>
    <row r="8" spans="1:20" s="11" customFormat="1" ht="15.75" customHeight="1">
      <c r="A8" s="5">
        <f t="shared" si="1"/>
        <v>5</v>
      </c>
      <c r="B8" s="6" t="s">
        <v>8</v>
      </c>
      <c r="C8" s="15">
        <f>100*30*12</f>
        <v>36000</v>
      </c>
      <c r="D8" s="15">
        <f>118+96+60+128.5+98</f>
        <v>500.5</v>
      </c>
      <c r="E8" s="15">
        <f>58+38</f>
        <v>96</v>
      </c>
      <c r="F8" s="15">
        <f>120</f>
        <v>120</v>
      </c>
      <c r="G8" s="15">
        <f>1000+76+74+57+150</f>
        <v>1357</v>
      </c>
      <c r="H8" s="15">
        <f>16+500+58</f>
        <v>574</v>
      </c>
      <c r="I8" s="15"/>
      <c r="J8" s="15">
        <f>160</f>
        <v>160</v>
      </c>
      <c r="K8" s="15">
        <f>110+246+1000+38+500</f>
        <v>1894</v>
      </c>
      <c r="L8" s="15">
        <f>83+148+105+70+58+20+512+635</f>
        <v>1631</v>
      </c>
      <c r="M8" s="15">
        <f>65+56+71</f>
        <v>192</v>
      </c>
      <c r="N8" s="15"/>
      <c r="O8" s="15">
        <f>68+195+209+62</f>
        <v>534</v>
      </c>
      <c r="P8" s="15">
        <f t="shared" si="0"/>
        <v>28941.5</v>
      </c>
      <c r="Q8" s="57" t="s">
        <v>77</v>
      </c>
      <c r="R8" s="57"/>
      <c r="S8" s="10"/>
      <c r="T8" s="10"/>
    </row>
    <row r="9" spans="1:20" s="11" customFormat="1" ht="15.75" customHeight="1">
      <c r="A9" s="5">
        <f t="shared" si="1"/>
        <v>6</v>
      </c>
      <c r="B9" s="6" t="s">
        <v>9</v>
      </c>
      <c r="C9" s="15">
        <f>250*10*12</f>
        <v>30000</v>
      </c>
      <c r="D9" s="15">
        <f>1170+1250+1250</f>
        <v>3670</v>
      </c>
      <c r="E9" s="15">
        <f>3000+1170</f>
        <v>4170</v>
      </c>
      <c r="F9" s="15">
        <f>3000+1170</f>
        <v>4170</v>
      </c>
      <c r="G9" s="15">
        <f>1170+3500</f>
        <v>4670</v>
      </c>
      <c r="H9" s="15">
        <f>4000+1270</f>
        <v>5270</v>
      </c>
      <c r="I9" s="15">
        <f>4000+1270</f>
        <v>5270</v>
      </c>
      <c r="J9" s="15">
        <f>4000+1690</f>
        <v>5690</v>
      </c>
      <c r="K9" s="15">
        <f>4000+440+1560</f>
        <v>6000</v>
      </c>
      <c r="L9" s="15">
        <f>1580+4000</f>
        <v>5580</v>
      </c>
      <c r="M9" s="15">
        <f>250+4000</f>
        <v>4250</v>
      </c>
      <c r="N9" s="15">
        <f>3500</f>
        <v>3500</v>
      </c>
      <c r="O9" s="15">
        <f>3000</f>
        <v>3000</v>
      </c>
      <c r="P9" s="15">
        <f t="shared" si="0"/>
        <v>-25240</v>
      </c>
      <c r="Q9" s="57" t="s">
        <v>42</v>
      </c>
      <c r="R9" s="57"/>
      <c r="S9" s="10"/>
      <c r="T9" s="10"/>
    </row>
    <row r="10" spans="1:20" s="11" customFormat="1" ht="15">
      <c r="A10" s="5">
        <f t="shared" si="1"/>
        <v>7</v>
      </c>
      <c r="B10" s="6" t="s">
        <v>10</v>
      </c>
      <c r="C10" s="15">
        <v>4500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>
        <f t="shared" si="0"/>
        <v>4500</v>
      </c>
      <c r="Q10" s="57" t="s">
        <v>43</v>
      </c>
      <c r="R10" s="57"/>
      <c r="S10" s="10"/>
      <c r="T10" s="10"/>
    </row>
    <row r="11" spans="1:20" s="11" customFormat="1" ht="15.75" customHeight="1">
      <c r="A11" s="5">
        <f t="shared" si="1"/>
        <v>8</v>
      </c>
      <c r="B11" s="6" t="s">
        <v>11</v>
      </c>
      <c r="C11" s="15">
        <v>1500</v>
      </c>
      <c r="D11" s="15"/>
      <c r="E11" s="15"/>
      <c r="F11" s="15"/>
      <c r="G11" s="15"/>
      <c r="H11" s="15">
        <f>50</f>
        <v>50</v>
      </c>
      <c r="I11" s="15"/>
      <c r="J11" s="15"/>
      <c r="K11" s="15">
        <f>84+22+80+252+155</f>
        <v>593</v>
      </c>
      <c r="L11" s="15"/>
      <c r="M11" s="15"/>
      <c r="N11" s="15"/>
      <c r="O11" s="15">
        <f>200</f>
        <v>200</v>
      </c>
      <c r="P11" s="15">
        <f t="shared" si="0"/>
        <v>657</v>
      </c>
      <c r="Q11" s="57" t="s">
        <v>44</v>
      </c>
      <c r="R11" s="57"/>
      <c r="S11" s="10"/>
      <c r="T11" s="10"/>
    </row>
    <row r="12" spans="1:20" s="11" customFormat="1" ht="15.75" customHeight="1">
      <c r="A12" s="5">
        <f t="shared" si="1"/>
        <v>9</v>
      </c>
      <c r="B12" s="6" t="s">
        <v>12</v>
      </c>
      <c r="C12" s="15">
        <v>2500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>
        <f t="shared" si="0"/>
        <v>2500</v>
      </c>
      <c r="Q12" s="57" t="s">
        <v>45</v>
      </c>
      <c r="R12" s="57"/>
      <c r="S12" s="10"/>
      <c r="T12" s="10"/>
    </row>
    <row r="13" spans="1:20" s="11" customFormat="1" ht="15">
      <c r="A13" s="5">
        <f t="shared" si="1"/>
        <v>10</v>
      </c>
      <c r="B13" s="6" t="s">
        <v>13</v>
      </c>
      <c r="C13" s="15">
        <v>3500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f t="shared" si="0"/>
        <v>3500</v>
      </c>
      <c r="Q13" s="57" t="s">
        <v>46</v>
      </c>
      <c r="R13" s="57"/>
      <c r="S13" s="10"/>
      <c r="T13" s="10"/>
    </row>
    <row r="14" spans="1:20" s="11" customFormat="1" ht="15">
      <c r="A14" s="5">
        <f t="shared" si="1"/>
        <v>11</v>
      </c>
      <c r="B14" s="6" t="s">
        <v>14</v>
      </c>
      <c r="C14" s="15">
        <v>7500</v>
      </c>
      <c r="D14" s="15">
        <f>400+100+150</f>
        <v>650</v>
      </c>
      <c r="E14" s="15">
        <f>70</f>
        <v>70</v>
      </c>
      <c r="F14" s="15"/>
      <c r="G14" s="15">
        <f>732</f>
        <v>732</v>
      </c>
      <c r="H14" s="15">
        <f>95</f>
        <v>95</v>
      </c>
      <c r="I14" s="15"/>
      <c r="J14" s="15"/>
      <c r="K14" s="15"/>
      <c r="L14" s="15">
        <f>132+155</f>
        <v>287</v>
      </c>
      <c r="M14" s="15">
        <f>265</f>
        <v>265</v>
      </c>
      <c r="N14" s="15">
        <f>358+130+346+3890</f>
        <v>4724</v>
      </c>
      <c r="O14" s="15">
        <f>310</f>
        <v>310</v>
      </c>
      <c r="P14" s="15">
        <f t="shared" si="0"/>
        <v>367</v>
      </c>
      <c r="Q14" s="57"/>
      <c r="R14" s="57"/>
      <c r="S14" s="10"/>
      <c r="T14" s="10"/>
    </row>
    <row r="15" spans="1:20" s="11" customFormat="1" ht="15">
      <c r="A15" s="5">
        <f t="shared" si="1"/>
        <v>12</v>
      </c>
      <c r="B15" s="6" t="s">
        <v>15</v>
      </c>
      <c r="C15" s="15">
        <v>8000</v>
      </c>
      <c r="D15" s="15">
        <f>32+35</f>
        <v>67</v>
      </c>
      <c r="E15" s="15">
        <f>45</f>
        <v>45</v>
      </c>
      <c r="F15" s="15"/>
      <c r="G15" s="15"/>
      <c r="H15" s="15">
        <f>99</f>
        <v>99</v>
      </c>
      <c r="I15" s="15"/>
      <c r="J15" s="15">
        <f>56.5+34+32</f>
        <v>122.5</v>
      </c>
      <c r="K15" s="15">
        <f>265+1120</f>
        <v>1385</v>
      </c>
      <c r="L15" s="15"/>
      <c r="M15" s="15"/>
      <c r="N15" s="15">
        <v>2170</v>
      </c>
      <c r="O15" s="15">
        <f>615+166</f>
        <v>781</v>
      </c>
      <c r="P15" s="15">
        <f t="shared" si="0"/>
        <v>3330.5</v>
      </c>
      <c r="Q15" s="57" t="s">
        <v>47</v>
      </c>
      <c r="R15" s="57"/>
      <c r="S15" s="10"/>
      <c r="T15" s="10"/>
    </row>
    <row r="16" spans="1:20" s="11" customFormat="1" ht="15.75" customHeight="1">
      <c r="A16" s="5">
        <f t="shared" si="1"/>
        <v>13</v>
      </c>
      <c r="B16" s="6" t="s">
        <v>16</v>
      </c>
      <c r="C16" s="15">
        <v>10000</v>
      </c>
      <c r="D16" s="15">
        <f>2645</f>
        <v>2645</v>
      </c>
      <c r="E16" s="15">
        <f>100</f>
        <v>100</v>
      </c>
      <c r="F16" s="15">
        <f>28+112+20</f>
        <v>160</v>
      </c>
      <c r="G16" s="15">
        <f>116+25</f>
        <v>141</v>
      </c>
      <c r="H16" s="15"/>
      <c r="I16" s="15"/>
      <c r="J16" s="15">
        <f>5760+60</f>
        <v>5820</v>
      </c>
      <c r="K16" s="15"/>
      <c r="L16" s="15"/>
      <c r="M16" s="15">
        <f>53+28</f>
        <v>81</v>
      </c>
      <c r="N16" s="15"/>
      <c r="O16" s="15"/>
      <c r="P16" s="15">
        <f t="shared" si="0"/>
        <v>1053</v>
      </c>
      <c r="Q16" s="57" t="s">
        <v>48</v>
      </c>
      <c r="R16" s="57"/>
      <c r="S16" s="10"/>
      <c r="T16" s="10"/>
    </row>
    <row r="17" spans="1:20" s="11" customFormat="1" ht="27.75">
      <c r="A17" s="5">
        <f t="shared" si="1"/>
        <v>14</v>
      </c>
      <c r="B17" s="6" t="s">
        <v>17</v>
      </c>
      <c r="C17" s="15">
        <v>15000</v>
      </c>
      <c r="D17" s="15"/>
      <c r="E17" s="15"/>
      <c r="F17" s="15"/>
      <c r="G17" s="15"/>
      <c r="H17" s="15"/>
      <c r="I17" s="15"/>
      <c r="J17" s="15">
        <f>10</f>
        <v>10</v>
      </c>
      <c r="K17" s="15"/>
      <c r="L17" s="15"/>
      <c r="M17" s="15"/>
      <c r="N17" s="15">
        <v>650</v>
      </c>
      <c r="O17" s="15"/>
      <c r="P17" s="15">
        <f t="shared" si="0"/>
        <v>14340</v>
      </c>
      <c r="Q17" s="57"/>
      <c r="R17" s="57"/>
      <c r="S17" s="10"/>
      <c r="T17" s="10"/>
    </row>
    <row r="18" spans="1:20" s="11" customFormat="1" ht="15">
      <c r="A18" s="5">
        <v>15</v>
      </c>
      <c r="B18" s="6" t="s">
        <v>18</v>
      </c>
      <c r="C18" s="15">
        <v>13000</v>
      </c>
      <c r="D18" s="15"/>
      <c r="E18" s="15"/>
      <c r="F18" s="15"/>
      <c r="G18" s="15">
        <f>2400+1220+116+123+2347</f>
        <v>6206</v>
      </c>
      <c r="H18" s="15"/>
      <c r="I18" s="15"/>
      <c r="J18" s="15"/>
      <c r="K18" s="15"/>
      <c r="L18" s="15"/>
      <c r="M18" s="15"/>
      <c r="N18" s="15"/>
      <c r="O18" s="15"/>
      <c r="P18" s="15">
        <f t="shared" si="0"/>
        <v>6794</v>
      </c>
      <c r="Q18" s="59" t="s">
        <v>35</v>
      </c>
      <c r="R18" s="59"/>
      <c r="S18" s="10"/>
      <c r="T18" s="10"/>
    </row>
    <row r="19" spans="1:20" ht="18.75" customHeight="1">
      <c r="A19" s="59" t="s">
        <v>20</v>
      </c>
      <c r="B19" s="59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4"/>
      <c r="R19" s="14" t="s">
        <v>41</v>
      </c>
      <c r="S19" s="1"/>
      <c r="T19" s="1"/>
    </row>
    <row r="20" spans="1:20" s="11" customFormat="1" ht="15">
      <c r="A20" s="5">
        <v>16</v>
      </c>
      <c r="B20" s="6" t="s">
        <v>21</v>
      </c>
      <c r="C20" s="15">
        <f>R29*12</f>
        <v>393000</v>
      </c>
      <c r="D20" s="15">
        <f>5000+5800+1650+1650+1500+1400+1500+250</f>
        <v>18750</v>
      </c>
      <c r="E20" s="15">
        <f>5000+5800+1500+1400+1500+1450+1650</f>
        <v>18300</v>
      </c>
      <c r="F20" s="15">
        <f>8000+5800+1550+2100+1595+2000+500+1500</f>
        <v>23045</v>
      </c>
      <c r="G20" s="15">
        <f>8000+5800+1650+2000+1650+1500+1400+1500</f>
        <v>23500</v>
      </c>
      <c r="H20" s="15">
        <f>8000+500+5800+2000+3500+1650+1650+1500+1400+1500</f>
        <v>27500</v>
      </c>
      <c r="I20" s="15">
        <f>8000+3500+5800+2000+3300+3000+1400+500</f>
        <v>27500</v>
      </c>
      <c r="J20" s="15">
        <f>5800+2000+3500+1500+1400+1500+500+8000+500</f>
        <v>24700</v>
      </c>
      <c r="K20" s="15">
        <f>5800+2000+3500+1500+1400+1500+1500+8000+500</f>
        <v>25700</v>
      </c>
      <c r="L20" s="15">
        <f>5800+1736+3500+1500+1500+1400+1500+8000+500</f>
        <v>25436</v>
      </c>
      <c r="M20" s="15">
        <f>5800+2000+3500+1500+1500+1500+1400+8000+500</f>
        <v>25700</v>
      </c>
      <c r="N20" s="15">
        <f>8000+500+5800+2000+1500+1000+3500+1500+1400+1500</f>
        <v>26700</v>
      </c>
      <c r="O20" s="15">
        <f>2080+8000+500+2500+1500+1500+1500+1400+1500+3500</f>
        <v>23980</v>
      </c>
      <c r="P20" s="15">
        <f>393000-D20-E20-F20-G20-H20-I20-J20-K20-L20-M20-N20-O20</f>
        <v>102189</v>
      </c>
      <c r="Q20" s="5" t="s">
        <v>36</v>
      </c>
      <c r="R20" s="15">
        <v>6500</v>
      </c>
      <c r="S20" s="10"/>
      <c r="T20" s="10"/>
    </row>
    <row r="21" spans="1:20" s="11" customFormat="1" ht="15">
      <c r="A21" s="5">
        <f t="shared" si="1"/>
        <v>17</v>
      </c>
      <c r="B21" s="6" t="s">
        <v>22</v>
      </c>
      <c r="C21" s="15">
        <f>C20/100*13.65</f>
        <v>53644.5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>
        <f>53644.5-D21-E21-F21-G21-H21-I21-J21-K21-L21-M21-N21-O21</f>
        <v>53644.5</v>
      </c>
      <c r="Q21" s="5" t="s">
        <v>37</v>
      </c>
      <c r="R21" s="15">
        <v>6000</v>
      </c>
      <c r="S21" s="10"/>
      <c r="T21" s="10"/>
    </row>
    <row r="22" spans="1:20" s="11" customFormat="1" ht="15">
      <c r="A22" s="5">
        <f t="shared" si="1"/>
        <v>18</v>
      </c>
      <c r="B22" s="6" t="s">
        <v>97</v>
      </c>
      <c r="C22" s="15">
        <f>13*240*7</f>
        <v>21840</v>
      </c>
      <c r="D22" s="15">
        <f>1071+640+182</f>
        <v>1893</v>
      </c>
      <c r="E22" s="15"/>
      <c r="F22" s="15">
        <f>203+115+410+222</f>
        <v>950</v>
      </c>
      <c r="G22" s="15"/>
      <c r="H22" s="15"/>
      <c r="I22" s="15"/>
      <c r="J22" s="15">
        <f>1465+870</f>
        <v>2335</v>
      </c>
      <c r="K22" s="15">
        <f>1713+3525</f>
        <v>5238</v>
      </c>
      <c r="L22" s="15">
        <f>510+1700+1090</f>
        <v>3300</v>
      </c>
      <c r="M22" s="15">
        <f>890+420</f>
        <v>1310</v>
      </c>
      <c r="N22" s="15">
        <f>400+380</f>
        <v>780</v>
      </c>
      <c r="O22" s="15">
        <f>8000+425</f>
        <v>8425</v>
      </c>
      <c r="P22" s="15">
        <f aca="true" t="shared" si="2" ref="P22:P29">C22-D22-E22-F22-G22-H22-I22-J22-K22-L22-M22-N22-O22</f>
        <v>-2391</v>
      </c>
      <c r="Q22" s="5" t="s">
        <v>62</v>
      </c>
      <c r="R22" s="15">
        <v>2500</v>
      </c>
      <c r="S22" s="10"/>
      <c r="T22" s="10"/>
    </row>
    <row r="23" spans="1:20" s="11" customFormat="1" ht="15">
      <c r="A23" s="5">
        <f t="shared" si="1"/>
        <v>19</v>
      </c>
      <c r="B23" s="6" t="s">
        <v>23</v>
      </c>
      <c r="C23" s="15">
        <f>1000*8</f>
        <v>8000</v>
      </c>
      <c r="D23" s="15"/>
      <c r="E23" s="15"/>
      <c r="F23" s="15"/>
      <c r="G23" s="15"/>
      <c r="H23" s="15"/>
      <c r="I23" s="15"/>
      <c r="J23" s="15"/>
      <c r="K23" s="15"/>
      <c r="L23" s="15"/>
      <c r="M23" s="15">
        <f>7640</f>
        <v>7640</v>
      </c>
      <c r="N23" s="15"/>
      <c r="O23" s="15"/>
      <c r="P23" s="15">
        <f t="shared" si="2"/>
        <v>360</v>
      </c>
      <c r="Q23" s="21" t="s">
        <v>64</v>
      </c>
      <c r="R23" s="15">
        <v>6000</v>
      </c>
      <c r="S23" s="10"/>
      <c r="T23" s="10"/>
    </row>
    <row r="24" spans="1:20" s="11" customFormat="1" ht="15">
      <c r="A24" s="5">
        <v>20</v>
      </c>
      <c r="B24" s="6" t="s">
        <v>30</v>
      </c>
      <c r="C24" s="15">
        <v>4500</v>
      </c>
      <c r="D24" s="15">
        <f>20+125+48+800+120</f>
        <v>1113</v>
      </c>
      <c r="E24" s="15">
        <f>779+1142</f>
        <v>1921</v>
      </c>
      <c r="F24" s="15">
        <f>111+1029</f>
        <v>1140</v>
      </c>
      <c r="G24" s="15">
        <f>285+300</f>
        <v>585</v>
      </c>
      <c r="H24" s="15">
        <f>100</f>
        <v>100</v>
      </c>
      <c r="I24" s="15">
        <f>60</f>
        <v>60</v>
      </c>
      <c r="J24" s="15"/>
      <c r="K24" s="15">
        <f>686+92</f>
        <v>778</v>
      </c>
      <c r="L24" s="15">
        <f>584.5+210</f>
        <v>794.5</v>
      </c>
      <c r="M24" s="15">
        <f>299</f>
        <v>299</v>
      </c>
      <c r="N24" s="15">
        <f>100+290+311</f>
        <v>701</v>
      </c>
      <c r="O24" s="15">
        <f>100+100+515+120+310+72+100</f>
        <v>1317</v>
      </c>
      <c r="P24" s="15">
        <f t="shared" si="2"/>
        <v>-4308.5</v>
      </c>
      <c r="Q24" s="21" t="s">
        <v>63</v>
      </c>
      <c r="R24" s="15">
        <v>3000</v>
      </c>
      <c r="S24" s="10"/>
      <c r="T24" s="10"/>
    </row>
    <row r="25" spans="1:20" s="11" customFormat="1" ht="15">
      <c r="A25" s="5">
        <v>21</v>
      </c>
      <c r="B25" s="6" t="s">
        <v>78</v>
      </c>
      <c r="C25" s="15">
        <v>15000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>
        <f t="shared" si="2"/>
        <v>15000</v>
      </c>
      <c r="Q25" s="5" t="s">
        <v>38</v>
      </c>
      <c r="R25" s="15">
        <v>1750</v>
      </c>
      <c r="S25" s="10"/>
      <c r="T25" s="10"/>
    </row>
    <row r="26" spans="1:20" s="11" customFormat="1" ht="15">
      <c r="A26" s="5">
        <v>22</v>
      </c>
      <c r="B26" s="6" t="s">
        <v>80</v>
      </c>
      <c r="C26" s="15">
        <v>5000</v>
      </c>
      <c r="D26" s="15"/>
      <c r="E26" s="15"/>
      <c r="F26" s="15"/>
      <c r="G26" s="15"/>
      <c r="H26" s="15"/>
      <c r="I26" s="15"/>
      <c r="J26" s="15"/>
      <c r="K26" s="15"/>
      <c r="L26" s="15">
        <v>3000</v>
      </c>
      <c r="M26" s="15">
        <v>4000</v>
      </c>
      <c r="N26" s="15"/>
      <c r="O26" s="15">
        <f>6120+1000</f>
        <v>7120</v>
      </c>
      <c r="P26" s="15">
        <f t="shared" si="2"/>
        <v>-9120</v>
      </c>
      <c r="Q26" s="5" t="s">
        <v>38</v>
      </c>
      <c r="R26" s="15">
        <v>1750</v>
      </c>
      <c r="S26" s="10"/>
      <c r="T26" s="10"/>
    </row>
    <row r="27" spans="1:20" ht="16.5">
      <c r="A27" s="14"/>
      <c r="B27" s="51" t="s">
        <v>100</v>
      </c>
      <c r="C27" s="15"/>
      <c r="D27" s="15"/>
      <c r="E27" s="15"/>
      <c r="F27" s="15">
        <v>3500</v>
      </c>
      <c r="G27" s="15"/>
      <c r="H27" s="15"/>
      <c r="I27" s="15"/>
      <c r="J27" s="15"/>
      <c r="K27" s="15"/>
      <c r="L27" s="15"/>
      <c r="M27" s="15"/>
      <c r="N27" s="15"/>
      <c r="O27" s="15"/>
      <c r="P27" s="15">
        <f t="shared" si="2"/>
        <v>-3500</v>
      </c>
      <c r="Q27" s="5" t="s">
        <v>39</v>
      </c>
      <c r="R27" s="15">
        <v>1750</v>
      </c>
      <c r="S27" s="1"/>
      <c r="T27" s="1"/>
    </row>
    <row r="28" spans="1:20" ht="16.5">
      <c r="A28" s="14"/>
      <c r="B28" s="51" t="s">
        <v>102</v>
      </c>
      <c r="C28" s="15"/>
      <c r="D28" s="15"/>
      <c r="E28" s="15"/>
      <c r="F28" s="15"/>
      <c r="G28" s="15">
        <v>7200</v>
      </c>
      <c r="H28" s="15"/>
      <c r="I28" s="15"/>
      <c r="J28" s="15"/>
      <c r="K28" s="15"/>
      <c r="L28" s="15">
        <v>1700</v>
      </c>
      <c r="M28" s="15"/>
      <c r="N28" s="15"/>
      <c r="O28" s="15">
        <f>2170+750</f>
        <v>2920</v>
      </c>
      <c r="P28" s="15">
        <f t="shared" si="2"/>
        <v>-11820</v>
      </c>
      <c r="Q28" s="5" t="s">
        <v>54</v>
      </c>
      <c r="R28" s="15">
        <v>3500</v>
      </c>
      <c r="S28" s="1"/>
      <c r="T28" s="1"/>
    </row>
    <row r="29" spans="1:20" ht="27.75">
      <c r="A29" s="14"/>
      <c r="B29" s="14" t="s">
        <v>103</v>
      </c>
      <c r="C29" s="15"/>
      <c r="D29" s="15"/>
      <c r="E29" s="15"/>
      <c r="F29" s="15"/>
      <c r="G29" s="15"/>
      <c r="H29" s="16">
        <f>150+2280+16740+162000+5340</f>
        <v>186510</v>
      </c>
      <c r="I29" s="16"/>
      <c r="J29" s="16"/>
      <c r="K29" s="16"/>
      <c r="L29" s="16"/>
      <c r="M29" s="16"/>
      <c r="N29" s="16"/>
      <c r="O29" s="16"/>
      <c r="P29" s="15">
        <f t="shared" si="2"/>
        <v>-186510</v>
      </c>
      <c r="Q29" s="12" t="s">
        <v>40</v>
      </c>
      <c r="R29" s="16">
        <f>SUM(R20:R29)</f>
        <v>32750</v>
      </c>
      <c r="S29" s="1"/>
      <c r="T29" s="1"/>
    </row>
    <row r="30" spans="1:20" ht="18.75" customHeight="1">
      <c r="A30" s="59" t="s">
        <v>24</v>
      </c>
      <c r="B30" s="59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S30" s="1"/>
      <c r="T30" s="1"/>
    </row>
    <row r="31" spans="1:20" s="11" customFormat="1" ht="15">
      <c r="A31" s="5">
        <v>23</v>
      </c>
      <c r="B31" s="6" t="s">
        <v>25</v>
      </c>
      <c r="C31" s="15">
        <v>8000</v>
      </c>
      <c r="D31" s="15">
        <f>31+348+20+50+76</f>
        <v>525</v>
      </c>
      <c r="E31" s="15"/>
      <c r="F31" s="15">
        <f>78</f>
        <v>78</v>
      </c>
      <c r="G31" s="15">
        <f>9</f>
        <v>9</v>
      </c>
      <c r="H31" s="15">
        <f>61</f>
        <v>61</v>
      </c>
      <c r="I31" s="15">
        <f>2000</f>
        <v>2000</v>
      </c>
      <c r="J31" s="15">
        <f>32+230+60</f>
        <v>322</v>
      </c>
      <c r="K31" s="15">
        <f>83+35</f>
        <v>118</v>
      </c>
      <c r="L31" s="15">
        <f>10+58</f>
        <v>68</v>
      </c>
      <c r="M31" s="15">
        <f>3000</f>
        <v>3000</v>
      </c>
      <c r="N31" s="15">
        <f>30+210</f>
        <v>240</v>
      </c>
      <c r="O31" s="15">
        <f>913+120+308+90</f>
        <v>1431</v>
      </c>
      <c r="P31" s="15">
        <f aca="true" t="shared" si="3" ref="P31:P45">C31-D31-E31-F31-G31-H31-I31-J31-K31-L31-M31-N31-O31</f>
        <v>148</v>
      </c>
      <c r="S31" s="10"/>
      <c r="T31" s="10"/>
    </row>
    <row r="32" spans="1:20" s="11" customFormat="1" ht="15">
      <c r="A32" s="5">
        <f t="shared" si="1"/>
        <v>24</v>
      </c>
      <c r="B32" s="6" t="s">
        <v>26</v>
      </c>
      <c r="C32" s="15">
        <v>1000</v>
      </c>
      <c r="D32" s="15">
        <f>20+15+20+20+67</f>
        <v>142</v>
      </c>
      <c r="E32" s="15">
        <f>20</f>
        <v>20</v>
      </c>
      <c r="F32" s="15">
        <f>56</f>
        <v>56</v>
      </c>
      <c r="G32" s="15">
        <f>20</f>
        <v>20</v>
      </c>
      <c r="H32" s="15">
        <f>110</f>
        <v>110</v>
      </c>
      <c r="I32" s="15">
        <f>56</f>
        <v>56</v>
      </c>
      <c r="J32" s="15">
        <f>20+45</f>
        <v>65</v>
      </c>
      <c r="K32" s="15"/>
      <c r="L32" s="15"/>
      <c r="M32" s="15"/>
      <c r="N32" s="15">
        <v>213</v>
      </c>
      <c r="O32" s="15">
        <f>56+20</f>
        <v>76</v>
      </c>
      <c r="P32" s="15">
        <f t="shared" si="3"/>
        <v>242</v>
      </c>
      <c r="Q32" s="12"/>
      <c r="R32" s="16"/>
      <c r="S32" s="10"/>
      <c r="T32" s="10"/>
    </row>
    <row r="33" spans="1:20" s="11" customFormat="1" ht="15">
      <c r="A33" s="5">
        <f t="shared" si="1"/>
        <v>25</v>
      </c>
      <c r="B33" s="6" t="s">
        <v>27</v>
      </c>
      <c r="C33" s="15">
        <v>3500</v>
      </c>
      <c r="D33" s="15">
        <f>17+26</f>
        <v>43</v>
      </c>
      <c r="E33" s="15">
        <f>398+85+765</f>
        <v>1248</v>
      </c>
      <c r="F33" s="15">
        <f>108+200</f>
        <v>308</v>
      </c>
      <c r="G33" s="15">
        <f>230+556</f>
        <v>786</v>
      </c>
      <c r="H33" s="15">
        <f>124</f>
        <v>124</v>
      </c>
      <c r="I33" s="15">
        <f>40+14+40</f>
        <v>94</v>
      </c>
      <c r="J33" s="15">
        <f>85+40</f>
        <v>125</v>
      </c>
      <c r="K33" s="15">
        <v>182</v>
      </c>
      <c r="L33" s="15">
        <f>150+67+38</f>
        <v>255</v>
      </c>
      <c r="M33" s="15">
        <f>50+237+230+100+145+166</f>
        <v>928</v>
      </c>
      <c r="N33" s="15">
        <f>285+90+34+179+40+74</f>
        <v>702</v>
      </c>
      <c r="O33" s="15">
        <f>50+804+54+70+252+234</f>
        <v>1464</v>
      </c>
      <c r="P33" s="15">
        <f t="shared" si="3"/>
        <v>-2759</v>
      </c>
      <c r="Q33" s="12"/>
      <c r="R33" s="15"/>
      <c r="S33" s="10"/>
      <c r="T33" s="10"/>
    </row>
    <row r="34" spans="1:20" s="11" customFormat="1" ht="15">
      <c r="A34" s="5">
        <f t="shared" si="1"/>
        <v>26</v>
      </c>
      <c r="B34" s="6" t="s">
        <v>28</v>
      </c>
      <c r="C34" s="15">
        <v>2400</v>
      </c>
      <c r="D34" s="15"/>
      <c r="E34" s="15">
        <f>165</f>
        <v>165</v>
      </c>
      <c r="F34" s="15"/>
      <c r="G34" s="15">
        <f>105</f>
        <v>105</v>
      </c>
      <c r="H34" s="15"/>
      <c r="I34" s="15">
        <v>196</v>
      </c>
      <c r="J34" s="15">
        <v>63</v>
      </c>
      <c r="K34" s="15"/>
      <c r="L34" s="15">
        <f>180</f>
        <v>180</v>
      </c>
      <c r="M34" s="15"/>
      <c r="N34" s="15">
        <v>180</v>
      </c>
      <c r="O34" s="15"/>
      <c r="P34" s="15">
        <f t="shared" si="3"/>
        <v>1511</v>
      </c>
      <c r="Q34" s="57" t="s">
        <v>82</v>
      </c>
      <c r="R34" s="57"/>
      <c r="S34" s="10"/>
      <c r="T34" s="10"/>
    </row>
    <row r="35" spans="1:20" s="11" customFormat="1" ht="15">
      <c r="A35" s="5">
        <f t="shared" si="1"/>
        <v>27</v>
      </c>
      <c r="B35" s="6" t="s">
        <v>49</v>
      </c>
      <c r="C35" s="15">
        <v>6000</v>
      </c>
      <c r="D35" s="15">
        <f>333+112</f>
        <v>445</v>
      </c>
      <c r="E35" s="15">
        <f>123+100+333</f>
        <v>556</v>
      </c>
      <c r="F35" s="15">
        <f>125+454+50</f>
        <v>629</v>
      </c>
      <c r="G35" s="15">
        <f>117+333</f>
        <v>450</v>
      </c>
      <c r="H35" s="15">
        <f>128</f>
        <v>128</v>
      </c>
      <c r="I35" s="15">
        <v>125</v>
      </c>
      <c r="J35" s="15">
        <f>100+393</f>
        <v>493</v>
      </c>
      <c r="K35" s="15">
        <f>124+1133</f>
        <v>1257</v>
      </c>
      <c r="L35" s="15">
        <f>129+333+110</f>
        <v>572</v>
      </c>
      <c r="M35" s="15">
        <f>128+607</f>
        <v>735</v>
      </c>
      <c r="N35" s="15">
        <f>124+666</f>
        <v>790</v>
      </c>
      <c r="O35" s="15">
        <f>131</f>
        <v>131</v>
      </c>
      <c r="P35" s="15">
        <f t="shared" si="3"/>
        <v>-311</v>
      </c>
      <c r="Q35" s="5" t="s">
        <v>61</v>
      </c>
      <c r="R35" s="5"/>
      <c r="S35" s="10"/>
      <c r="T35" s="10"/>
    </row>
    <row r="36" spans="1:20" s="11" customFormat="1" ht="15.75" customHeight="1">
      <c r="A36" s="5">
        <v>28</v>
      </c>
      <c r="B36" s="6" t="s">
        <v>53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v>30150</v>
      </c>
      <c r="P36" s="15">
        <f t="shared" si="3"/>
        <v>-30150</v>
      </c>
      <c r="Q36" s="57" t="s">
        <v>83</v>
      </c>
      <c r="R36" s="57"/>
      <c r="S36" s="10"/>
      <c r="T36" s="10"/>
    </row>
    <row r="37" spans="1:20" ht="18.75" customHeight="1">
      <c r="A37" s="59" t="s">
        <v>60</v>
      </c>
      <c r="B37" s="59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>
        <f t="shared" si="3"/>
        <v>0</v>
      </c>
      <c r="Q37" s="5"/>
      <c r="R37" s="2"/>
      <c r="S37" s="1"/>
      <c r="T37" s="1"/>
    </row>
    <row r="38" spans="1:20" s="11" customFormat="1" ht="15">
      <c r="A38" s="5">
        <v>29</v>
      </c>
      <c r="B38" s="9" t="s">
        <v>59</v>
      </c>
      <c r="C38" s="17">
        <v>1200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5">
        <f t="shared" si="3"/>
        <v>1200</v>
      </c>
      <c r="Q38" s="57" t="s">
        <v>50</v>
      </c>
      <c r="R38" s="57"/>
      <c r="S38" s="10"/>
      <c r="T38" s="10"/>
    </row>
    <row r="39" spans="1:20" s="11" customFormat="1" ht="15">
      <c r="A39" s="5">
        <f>A38+1</f>
        <v>30</v>
      </c>
      <c r="B39" s="9" t="s">
        <v>55</v>
      </c>
      <c r="C39" s="17">
        <v>13200</v>
      </c>
      <c r="D39" s="17">
        <f>145+110</f>
        <v>255</v>
      </c>
      <c r="E39" s="17">
        <f>204</f>
        <v>204</v>
      </c>
      <c r="F39" s="17"/>
      <c r="G39" s="17"/>
      <c r="H39" s="17"/>
      <c r="I39" s="17">
        <v>2500</v>
      </c>
      <c r="J39" s="17"/>
      <c r="K39" s="17"/>
      <c r="L39" s="17"/>
      <c r="M39" s="17"/>
      <c r="N39" s="17"/>
      <c r="O39" s="17"/>
      <c r="P39" s="15">
        <f t="shared" si="3"/>
        <v>10241</v>
      </c>
      <c r="Q39" s="57" t="s">
        <v>56</v>
      </c>
      <c r="R39" s="57"/>
      <c r="S39" s="10"/>
      <c r="T39" s="10"/>
    </row>
    <row r="40" spans="1:20" s="11" customFormat="1" ht="15.75" customHeight="1">
      <c r="A40" s="5">
        <f>A39+1</f>
        <v>31</v>
      </c>
      <c r="B40" s="9" t="s">
        <v>57</v>
      </c>
      <c r="C40" s="17">
        <f>7500*12</f>
        <v>90000</v>
      </c>
      <c r="D40" s="17">
        <f>2664+1650+1931+1400+3238+1968</f>
        <v>12851</v>
      </c>
      <c r="E40" s="17">
        <f>300+3950+7420</f>
        <v>11670</v>
      </c>
      <c r="F40" s="17">
        <v>9888</v>
      </c>
      <c r="G40" s="17">
        <f>200+536+915+300+8236</f>
        <v>10187</v>
      </c>
      <c r="H40" s="17">
        <v>9361</v>
      </c>
      <c r="I40" s="17">
        <f>5949</f>
        <v>5949</v>
      </c>
      <c r="J40" s="17">
        <f>1038+10758</f>
        <v>11796</v>
      </c>
      <c r="K40" s="17">
        <v>11713</v>
      </c>
      <c r="L40" s="17">
        <f>12597</f>
        <v>12597</v>
      </c>
      <c r="M40" s="17">
        <f>50+400+10716</f>
        <v>11166</v>
      </c>
      <c r="N40" s="17">
        <v>9849</v>
      </c>
      <c r="O40" s="17">
        <v>12143</v>
      </c>
      <c r="P40" s="15">
        <f t="shared" si="3"/>
        <v>-39170</v>
      </c>
      <c r="Q40" s="57" t="s">
        <v>79</v>
      </c>
      <c r="R40" s="57"/>
      <c r="S40" s="10"/>
      <c r="T40" s="10"/>
    </row>
    <row r="41" spans="1:20" s="11" customFormat="1" ht="15.75" customHeight="1">
      <c r="A41" s="5">
        <f>A40+1</f>
        <v>32</v>
      </c>
      <c r="B41" s="9" t="s">
        <v>29</v>
      </c>
      <c r="C41" s="17">
        <v>4500</v>
      </c>
      <c r="D41" s="17"/>
      <c r="E41" s="17">
        <f>550</f>
        <v>550</v>
      </c>
      <c r="F41" s="17">
        <f>200</f>
        <v>200</v>
      </c>
      <c r="G41" s="17"/>
      <c r="H41" s="17">
        <f>500</f>
        <v>500</v>
      </c>
      <c r="I41" s="17"/>
      <c r="J41" s="17"/>
      <c r="K41" s="17">
        <v>700</v>
      </c>
      <c r="L41" s="17">
        <f>780</f>
        <v>780</v>
      </c>
      <c r="M41" s="17"/>
      <c r="N41" s="17">
        <v>750</v>
      </c>
      <c r="O41" s="17">
        <f>200</f>
        <v>200</v>
      </c>
      <c r="P41" s="15">
        <f t="shared" si="3"/>
        <v>820</v>
      </c>
      <c r="Q41" s="57" t="s">
        <v>84</v>
      </c>
      <c r="R41" s="57"/>
      <c r="S41" s="10"/>
      <c r="T41" s="10"/>
    </row>
    <row r="42" spans="1:20" s="11" customFormat="1" ht="15.75" customHeight="1">
      <c r="A42" s="5">
        <f>A41+1</f>
        <v>33</v>
      </c>
      <c r="B42" s="9" t="s">
        <v>31</v>
      </c>
      <c r="C42" s="17">
        <v>5000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5">
        <f t="shared" si="3"/>
        <v>5000</v>
      </c>
      <c r="Q42" s="57" t="s">
        <v>51</v>
      </c>
      <c r="R42" s="57"/>
      <c r="S42" s="10"/>
      <c r="T42" s="10"/>
    </row>
    <row r="43" spans="1:20" s="11" customFormat="1" ht="15">
      <c r="A43" s="5">
        <f>A42+1</f>
        <v>34</v>
      </c>
      <c r="B43" s="9" t="s">
        <v>19</v>
      </c>
      <c r="C43" s="17">
        <v>2000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5">
        <f t="shared" si="3"/>
        <v>2000</v>
      </c>
      <c r="Q43" s="10"/>
      <c r="R43" s="10"/>
      <c r="S43" s="10"/>
      <c r="T43" s="10"/>
    </row>
    <row r="44" spans="1:20" s="11" customFormat="1" ht="15">
      <c r="A44" s="5">
        <v>35</v>
      </c>
      <c r="B44" s="9" t="s">
        <v>96</v>
      </c>
      <c r="C44" s="17"/>
      <c r="D44" s="17">
        <f>2850+1800+16800</f>
        <v>21450</v>
      </c>
      <c r="E44" s="17">
        <f>12600+3525</f>
        <v>16125</v>
      </c>
      <c r="F44" s="17">
        <f>14000</f>
        <v>14000</v>
      </c>
      <c r="G44" s="17">
        <v>16800</v>
      </c>
      <c r="H44" s="17"/>
      <c r="I44" s="17"/>
      <c r="J44" s="17">
        <v>2000</v>
      </c>
      <c r="K44" s="17">
        <f>16800</f>
        <v>16800</v>
      </c>
      <c r="L44" s="17"/>
      <c r="M44" s="17"/>
      <c r="N44" s="17"/>
      <c r="O44" s="17"/>
      <c r="P44" s="15">
        <f t="shared" si="3"/>
        <v>-87175</v>
      </c>
      <c r="Q44" s="10"/>
      <c r="R44" s="10"/>
      <c r="S44" s="10"/>
      <c r="T44" s="10"/>
    </row>
    <row r="45" spans="1:20" s="11" customFormat="1" ht="15">
      <c r="A45" s="5">
        <v>36</v>
      </c>
      <c r="B45" s="9" t="s">
        <v>114</v>
      </c>
      <c r="C45" s="17"/>
      <c r="D45" s="17"/>
      <c r="E45" s="17">
        <f>231+547</f>
        <v>778</v>
      </c>
      <c r="F45" s="17">
        <f>70</f>
        <v>70</v>
      </c>
      <c r="G45" s="17">
        <f>1145</f>
        <v>1145</v>
      </c>
      <c r="H45" s="17"/>
      <c r="I45" s="17">
        <f>96</f>
        <v>96</v>
      </c>
      <c r="J45" s="17">
        <f>4587</f>
        <v>4587</v>
      </c>
      <c r="K45" s="17">
        <f>25+684</f>
        <v>709</v>
      </c>
      <c r="L45" s="17"/>
      <c r="M45" s="17"/>
      <c r="N45" s="17">
        <f>38+40+80+1650</f>
        <v>1808</v>
      </c>
      <c r="O45" s="17">
        <f>73+205+315+58+65+500+140</f>
        <v>1356</v>
      </c>
      <c r="P45" s="15">
        <f t="shared" si="3"/>
        <v>-10549</v>
      </c>
      <c r="Q45" s="10"/>
      <c r="R45" s="10"/>
      <c r="S45" s="10"/>
      <c r="T45" s="10"/>
    </row>
    <row r="46" spans="1:20" s="11" customFormat="1" ht="15">
      <c r="A46" s="5"/>
      <c r="B46" s="9" t="s">
        <v>52</v>
      </c>
      <c r="C46" s="50">
        <f>SUM(C4:C43)</f>
        <v>900834.5</v>
      </c>
      <c r="D46" s="50">
        <f>SUM(D4:D44)</f>
        <v>76552</v>
      </c>
      <c r="E46" s="50">
        <f aca="true" t="shared" si="4" ref="E46:O46">SUM(E4:E45)</f>
        <v>67464</v>
      </c>
      <c r="F46" s="50">
        <f t="shared" si="4"/>
        <v>68899</v>
      </c>
      <c r="G46" s="50">
        <f t="shared" si="4"/>
        <v>86103.5</v>
      </c>
      <c r="H46" s="50">
        <f t="shared" si="4"/>
        <v>238923</v>
      </c>
      <c r="I46" s="50">
        <f t="shared" si="4"/>
        <v>52959</v>
      </c>
      <c r="J46" s="50">
        <f t="shared" si="4"/>
        <v>77616.5</v>
      </c>
      <c r="K46" s="50">
        <f t="shared" si="4"/>
        <v>105033</v>
      </c>
      <c r="L46" s="50">
        <f t="shared" si="4"/>
        <v>77307.5</v>
      </c>
      <c r="M46" s="50">
        <f t="shared" si="4"/>
        <v>73204</v>
      </c>
      <c r="N46" s="50">
        <f t="shared" si="4"/>
        <v>64686</v>
      </c>
      <c r="O46" s="50">
        <f t="shared" si="4"/>
        <v>110670</v>
      </c>
      <c r="P46" s="49">
        <f>900834.5-D46-E46-F46-G46-H46-I46-J46-K46-L46-M46-N46-O46</f>
        <v>-198583</v>
      </c>
      <c r="Q46" s="10"/>
      <c r="R46" s="10"/>
      <c r="S46" s="10"/>
      <c r="T46" s="10"/>
    </row>
    <row r="47" spans="1:20" ht="16.5">
      <c r="A47" s="62" t="s">
        <v>32</v>
      </c>
      <c r="B47" s="62"/>
      <c r="C47" s="18">
        <v>30000</v>
      </c>
      <c r="D47" s="18">
        <f>150563</f>
        <v>150563</v>
      </c>
      <c r="E47" s="18">
        <v>3000</v>
      </c>
      <c r="F47" s="18">
        <f>13600+250+250</f>
        <v>14100</v>
      </c>
      <c r="G47" s="18">
        <f>1500+250+250+1800</f>
        <v>3800</v>
      </c>
      <c r="H47" s="18">
        <f>250+250+186510</f>
        <v>187010</v>
      </c>
      <c r="I47" s="18">
        <f>1250</f>
        <v>1250</v>
      </c>
      <c r="J47" s="18">
        <f>250+500</f>
        <v>750</v>
      </c>
      <c r="K47" s="18">
        <f>900+250+250+250</f>
        <v>1650</v>
      </c>
      <c r="L47" s="18">
        <v>500</v>
      </c>
      <c r="M47" s="18">
        <f>250+250+4965</f>
        <v>5465</v>
      </c>
      <c r="N47" s="18">
        <f>250+600+25000+10000+1000+500+250+900</f>
        <v>38500</v>
      </c>
      <c r="O47" s="18">
        <f>10000+10000+250+6000+1000</f>
        <v>27250</v>
      </c>
      <c r="P47" s="18">
        <f>C47-D47-E47-F47-G47-H47-I47-J47-K47-L47-M47-N47-O47</f>
        <v>-403838</v>
      </c>
      <c r="Q47" s="61" t="s">
        <v>81</v>
      </c>
      <c r="R47" s="61"/>
      <c r="S47" s="1"/>
      <c r="T47" s="1"/>
    </row>
    <row r="48" spans="1:20" ht="16.5">
      <c r="A48" s="58" t="s">
        <v>33</v>
      </c>
      <c r="B48" s="58"/>
      <c r="C48" s="49">
        <f>C46-C47</f>
        <v>870834.5</v>
      </c>
      <c r="D48" s="49">
        <f aca="true" t="shared" si="5" ref="D48:J48">D46</f>
        <v>76552</v>
      </c>
      <c r="E48" s="49">
        <f t="shared" si="5"/>
        <v>67464</v>
      </c>
      <c r="F48" s="49">
        <f t="shared" si="5"/>
        <v>68899</v>
      </c>
      <c r="G48" s="49">
        <f t="shared" si="5"/>
        <v>86103.5</v>
      </c>
      <c r="H48" s="49">
        <f t="shared" si="5"/>
        <v>238923</v>
      </c>
      <c r="I48" s="49">
        <f t="shared" si="5"/>
        <v>52959</v>
      </c>
      <c r="J48" s="49">
        <f t="shared" si="5"/>
        <v>77616.5</v>
      </c>
      <c r="K48" s="49">
        <f>K46</f>
        <v>105033</v>
      </c>
      <c r="L48" s="49">
        <f>L46</f>
        <v>77307.5</v>
      </c>
      <c r="M48" s="49">
        <f>M46</f>
        <v>73204</v>
      </c>
      <c r="N48" s="49">
        <f>N46</f>
        <v>64686</v>
      </c>
      <c r="O48" s="49">
        <f>O46</f>
        <v>110670</v>
      </c>
      <c r="P48" s="49">
        <f>870834.5-D48-E48-F48-G48-H48-I48-J48-K48-L48-M48-N48-O48</f>
        <v>-228583</v>
      </c>
      <c r="Q48" s="20">
        <f>C48/50</f>
        <v>17416.69</v>
      </c>
      <c r="R48" s="27">
        <v>50</v>
      </c>
      <c r="S48" s="1"/>
      <c r="T48" s="1"/>
    </row>
    <row r="49" spans="1:20" ht="16.5">
      <c r="A49" s="1"/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1"/>
      <c r="R49" s="1"/>
      <c r="S49" s="1"/>
      <c r="T49" s="1"/>
    </row>
    <row r="50" spans="1:20" ht="16.5">
      <c r="A50" s="1"/>
      <c r="B50" s="7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1:20" ht="16.5">
      <c r="A51" s="1"/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1:20" ht="16.5">
      <c r="A52" s="1"/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1:20" ht="16.5">
      <c r="A53" s="1"/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1:20" ht="16.5">
      <c r="A54" s="1"/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1:20" ht="16.5">
      <c r="A55" s="1"/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1:20" ht="16.5">
      <c r="A56" s="1"/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1:20" ht="16.5">
      <c r="A57" s="1"/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1:20" ht="16.5">
      <c r="A58" s="1"/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1:20" ht="16.5">
      <c r="A59" s="1"/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1:20" ht="16.5">
      <c r="A60" s="1"/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1:20" ht="16.5">
      <c r="A61" s="1"/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1:20" ht="16.5">
      <c r="A62" s="1"/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1:20" ht="16.5">
      <c r="A63" s="1"/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1:20" ht="16.5">
      <c r="A64" s="1"/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1:20" ht="16.5">
      <c r="A65" s="1"/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1:20" ht="16.5">
      <c r="A66" s="1"/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1:20" ht="16.5">
      <c r="A67" s="1"/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1:20" ht="16.5">
      <c r="A68" s="1"/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1:20" ht="16.5">
      <c r="A69" s="1"/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6.5">
      <c r="A70" s="1"/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6.5">
      <c r="A71" s="1"/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1:20" ht="16.5">
      <c r="A72" s="1"/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</row>
    <row r="73" spans="1:20" ht="16.5">
      <c r="A73" s="1"/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</row>
    <row r="74" spans="1:20" ht="16.5">
      <c r="A74" s="1"/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  <row r="75" spans="1:20" ht="16.5">
      <c r="A75" s="1"/>
      <c r="B75" s="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</row>
    <row r="76" spans="1:20" ht="16.5">
      <c r="A76" s="1"/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</row>
    <row r="77" spans="1:20" ht="16.5">
      <c r="A77" s="1"/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</row>
    <row r="78" spans="1:20" ht="16.5">
      <c r="A78" s="1"/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</row>
    <row r="79" spans="1:20" ht="16.5">
      <c r="A79" s="1"/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</row>
    <row r="80" spans="1:20" ht="16.5">
      <c r="A80" s="1"/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</row>
    <row r="81" spans="1:20" ht="16.5">
      <c r="A81" s="1"/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</row>
    <row r="82" spans="1:20" ht="16.5">
      <c r="A82" s="1"/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</row>
    <row r="83" spans="1:20" ht="16.5">
      <c r="A83" s="1"/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</row>
    <row r="84" spans="1:20" ht="16.5">
      <c r="A84" s="1"/>
      <c r="B84" s="7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</row>
    <row r="85" spans="1:20" ht="16.5">
      <c r="A85" s="1"/>
      <c r="B85" s="7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0" ht="16.5">
      <c r="A86" s="1"/>
      <c r="B86" s="7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</row>
    <row r="87" spans="1:20" ht="16.5">
      <c r="A87" s="1"/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0" ht="16.5">
      <c r="A88" s="1"/>
      <c r="B88" s="7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</row>
    <row r="89" spans="1:20" ht="16.5">
      <c r="A89" s="1"/>
      <c r="B89" s="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</row>
    <row r="90" spans="1:20" ht="16.5">
      <c r="A90" s="1"/>
      <c r="B90" s="7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</row>
    <row r="91" spans="1:20" ht="16.5">
      <c r="A91" s="1"/>
      <c r="B91" s="7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</row>
    <row r="92" spans="1:20" ht="16.5">
      <c r="A92" s="1"/>
      <c r="B92" s="7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</row>
    <row r="93" spans="1:20" ht="16.5">
      <c r="A93" s="1"/>
      <c r="B93" s="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</row>
    <row r="94" spans="1:20" ht="16.5">
      <c r="A94" s="1"/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</row>
    <row r="95" spans="1:20" ht="16.5">
      <c r="A95" s="1"/>
      <c r="B95" s="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</row>
    <row r="96" spans="1:20" ht="16.5">
      <c r="A96" s="1"/>
      <c r="B96" s="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</row>
    <row r="97" spans="1:20" ht="16.5">
      <c r="A97" s="1"/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</row>
    <row r="98" spans="1:20" ht="16.5">
      <c r="A98" s="1"/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</row>
    <row r="99" spans="1:20" ht="16.5">
      <c r="A99" s="1"/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</row>
    <row r="100" spans="1:20" ht="16.5">
      <c r="A100" s="1"/>
      <c r="B100" s="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16.5">
      <c r="A101" s="1"/>
      <c r="B101" s="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16.5">
      <c r="A102" s="1"/>
      <c r="B102" s="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16.5">
      <c r="A103" s="1"/>
      <c r="B103" s="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16.5">
      <c r="A104" s="1"/>
      <c r="B104" s="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</row>
    <row r="105" spans="1:20" ht="16.5">
      <c r="A105" s="1"/>
      <c r="B105" s="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</row>
    <row r="106" spans="1:20" ht="16.5">
      <c r="A106" s="1"/>
      <c r="B106" s="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</row>
    <row r="107" spans="1:20" ht="16.5">
      <c r="A107" s="1"/>
      <c r="B107" s="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</row>
    <row r="108" spans="1:20" ht="16.5">
      <c r="A108" s="1"/>
      <c r="B108" s="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</row>
    <row r="109" spans="1:20" ht="16.5">
      <c r="A109" s="1"/>
      <c r="B109" s="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</row>
    <row r="110" spans="1:20" ht="16.5">
      <c r="A110" s="1"/>
      <c r="B110" s="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</row>
    <row r="111" spans="1:20" ht="16.5">
      <c r="A111" s="1"/>
      <c r="B111" s="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</row>
    <row r="112" spans="1:20" ht="16.5">
      <c r="A112" s="1"/>
      <c r="B112" s="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</row>
    <row r="113" spans="1:20" ht="16.5">
      <c r="A113" s="1"/>
      <c r="B113" s="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</row>
    <row r="114" spans="1:20" ht="16.5">
      <c r="A114" s="1"/>
      <c r="B114" s="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</row>
    <row r="115" spans="1:20" ht="16.5">
      <c r="A115" s="1"/>
      <c r="B115" s="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</row>
    <row r="116" spans="1:20" ht="16.5">
      <c r="A116" s="1"/>
      <c r="B116" s="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</row>
    <row r="117" spans="1:20" ht="16.5">
      <c r="A117" s="1"/>
      <c r="B117" s="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</row>
    <row r="118" spans="1:20" ht="16.5">
      <c r="A118" s="1"/>
      <c r="B118" s="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</row>
    <row r="119" spans="1:20" ht="16.5">
      <c r="A119" s="1"/>
      <c r="B119" s="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</row>
    <row r="120" spans="1:20" ht="16.5">
      <c r="A120" s="1"/>
      <c r="B120" s="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</row>
    <row r="121" spans="1:20" ht="16.5">
      <c r="A121" s="1"/>
      <c r="B121" s="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</row>
    <row r="122" spans="1:20" ht="16.5">
      <c r="A122" s="1"/>
      <c r="B122" s="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</row>
    <row r="123" spans="1:20" ht="16.5">
      <c r="A123" s="1"/>
      <c r="B123" s="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</row>
    <row r="124" spans="1:20" ht="16.5">
      <c r="A124" s="1"/>
      <c r="B124" s="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</row>
    <row r="125" spans="1:20" ht="16.5">
      <c r="A125" s="1"/>
      <c r="B125" s="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</row>
    <row r="126" spans="1:20" ht="16.5">
      <c r="A126" s="1"/>
      <c r="B126" s="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</row>
    <row r="127" spans="1:20" ht="16.5">
      <c r="A127" s="1"/>
      <c r="B127" s="7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</row>
    <row r="128" spans="1:20" ht="16.5">
      <c r="A128" s="1"/>
      <c r="B128" s="7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</row>
    <row r="129" spans="1:20" ht="16.5">
      <c r="A129" s="1"/>
      <c r="B129" s="7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</row>
    <row r="130" spans="1:20" ht="16.5">
      <c r="A130" s="1"/>
      <c r="B130" s="7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</row>
    <row r="131" spans="1:20" ht="16.5">
      <c r="A131" s="1"/>
      <c r="B131" s="7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</row>
    <row r="132" spans="1:20" ht="16.5">
      <c r="A132" s="1"/>
      <c r="B132" s="7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6.5">
      <c r="A133" s="1"/>
      <c r="B133" s="7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</row>
    <row r="134" spans="1:20" ht="16.5">
      <c r="A134" s="1"/>
      <c r="B134" s="7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</row>
    <row r="135" spans="1:20" ht="16.5">
      <c r="A135" s="1"/>
      <c r="B135" s="7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</row>
    <row r="136" spans="1:20" ht="16.5">
      <c r="A136" s="1"/>
      <c r="B136" s="7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</row>
    <row r="137" spans="1:20" ht="16.5">
      <c r="A137" s="1"/>
      <c r="B137" s="7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</row>
    <row r="138" spans="1:20" ht="16.5">
      <c r="A138" s="1"/>
      <c r="B138" s="7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</row>
    <row r="139" spans="1:20" ht="16.5">
      <c r="A139" s="1"/>
      <c r="B139" s="7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</row>
    <row r="140" spans="1:20" ht="16.5">
      <c r="A140" s="1"/>
      <c r="B140" s="7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</row>
    <row r="141" spans="1:20" ht="16.5">
      <c r="A141" s="1"/>
      <c r="B141" s="7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1:20" ht="16.5">
      <c r="A142" s="1"/>
      <c r="B142" s="7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spans="1:20" ht="16.5">
      <c r="A143" s="1"/>
      <c r="B143" s="7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</row>
    <row r="144" spans="1:20" ht="16.5">
      <c r="A144" s="1"/>
      <c r="B144" s="7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</row>
    <row r="145" spans="1:20" ht="16.5">
      <c r="A145" s="1"/>
      <c r="B145" s="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</row>
    <row r="146" spans="1:20" ht="16.5">
      <c r="A146" s="1"/>
      <c r="B146" s="7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</row>
    <row r="147" spans="1:20" ht="16.5">
      <c r="A147" s="1"/>
      <c r="B147" s="7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</row>
    <row r="148" spans="1:20" ht="16.5">
      <c r="A148" s="1"/>
      <c r="B148" s="7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</row>
    <row r="149" spans="1:20" ht="16.5">
      <c r="A149" s="1"/>
      <c r="B149" s="7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</row>
    <row r="150" spans="1:20" ht="16.5">
      <c r="A150" s="1"/>
      <c r="B150" s="7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6.5">
      <c r="A151" s="1"/>
      <c r="B151" s="7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</row>
    <row r="152" spans="1:20" ht="16.5">
      <c r="A152" s="1"/>
      <c r="B152" s="7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</row>
    <row r="153" spans="1:20" ht="16.5">
      <c r="A153" s="1"/>
      <c r="B153" s="7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</row>
    <row r="154" spans="1:20" ht="16.5">
      <c r="A154" s="1"/>
      <c r="B154" s="7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</row>
    <row r="155" spans="1:20" ht="16.5">
      <c r="A155" s="1"/>
      <c r="B155" s="7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</row>
    <row r="156" spans="1:20" ht="16.5">
      <c r="A156" s="1"/>
      <c r="B156" s="7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</row>
    <row r="157" spans="1:20" ht="16.5">
      <c r="A157" s="1"/>
      <c r="B157" s="7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</row>
    <row r="158" spans="1:20" ht="16.5">
      <c r="A158" s="1"/>
      <c r="B158" s="7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</row>
    <row r="159" spans="1:20" ht="16.5">
      <c r="A159" s="1"/>
      <c r="B159" s="7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</row>
    <row r="160" spans="1:20" ht="16.5">
      <c r="A160" s="1"/>
      <c r="B160" s="7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</row>
    <row r="161" spans="1:20" ht="16.5">
      <c r="A161" s="1"/>
      <c r="B161" s="7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</row>
    <row r="162" spans="1:20" ht="16.5">
      <c r="A162" s="1"/>
      <c r="B162" s="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</row>
    <row r="163" spans="1:20" ht="16.5">
      <c r="A163" s="1"/>
      <c r="B163" s="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</row>
    <row r="164" spans="1:20" ht="16.5">
      <c r="A164" s="1"/>
      <c r="B164" s="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</row>
    <row r="165" spans="1:20" ht="16.5">
      <c r="A165" s="1"/>
      <c r="B165" s="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</row>
    <row r="166" spans="1:20" ht="16.5">
      <c r="A166" s="1"/>
      <c r="B166" s="7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</row>
    <row r="167" spans="1:20" ht="16.5">
      <c r="A167" s="1"/>
      <c r="B167" s="7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</row>
    <row r="168" spans="1:20" ht="16.5">
      <c r="A168" s="1"/>
      <c r="B168" s="7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</row>
    <row r="169" spans="1:20" ht="16.5">
      <c r="A169" s="1"/>
      <c r="B169" s="7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</row>
    <row r="170" spans="1:20" ht="16.5">
      <c r="A170" s="1"/>
      <c r="B170" s="7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</row>
    <row r="171" spans="1:20" ht="16.5">
      <c r="A171" s="1"/>
      <c r="B171" s="7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</row>
    <row r="172" spans="1:20" ht="16.5">
      <c r="A172" s="1"/>
      <c r="B172" s="7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</row>
    <row r="173" spans="1:20" ht="16.5">
      <c r="A173" s="1"/>
      <c r="B173" s="7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</row>
    <row r="174" spans="1:20" ht="16.5">
      <c r="A174" s="1"/>
      <c r="B174" s="7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</row>
    <row r="175" spans="1:20" ht="16.5">
      <c r="A175" s="1"/>
      <c r="B175" s="7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</row>
    <row r="176" spans="1:20" ht="16.5">
      <c r="A176" s="1"/>
      <c r="B176" s="7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</row>
    <row r="177" spans="1:20" ht="16.5">
      <c r="A177" s="1"/>
      <c r="B177" s="7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</row>
    <row r="178" spans="1:20" ht="16.5">
      <c r="A178" s="1"/>
      <c r="B178" s="7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</row>
    <row r="179" spans="1:20" ht="16.5">
      <c r="A179" s="1"/>
      <c r="B179" s="7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</row>
    <row r="180" spans="1:20" ht="16.5">
      <c r="A180" s="1"/>
      <c r="B180" s="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</row>
    <row r="181" spans="1:20" ht="16.5">
      <c r="A181" s="1"/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</row>
    <row r="182" spans="1:20" ht="16.5">
      <c r="A182" s="1"/>
      <c r="B182" s="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</row>
    <row r="183" spans="1:20" ht="16.5">
      <c r="A183" s="1"/>
      <c r="B183" s="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</row>
    <row r="184" spans="1:20" ht="16.5">
      <c r="A184" s="1"/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</row>
    <row r="185" spans="1:20" ht="16.5">
      <c r="A185" s="1"/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</row>
    <row r="186" spans="1:20" ht="16.5">
      <c r="A186" s="1"/>
      <c r="B186" s="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</row>
    <row r="187" spans="1:20" ht="16.5">
      <c r="A187" s="1"/>
      <c r="B187" s="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</row>
    <row r="188" spans="1:20" ht="16.5">
      <c r="A188" s="1"/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</row>
    <row r="189" spans="1:20" ht="16.5">
      <c r="A189" s="1"/>
      <c r="B189" s="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</row>
    <row r="190" spans="1:20" ht="16.5">
      <c r="A190" s="1"/>
      <c r="B190" s="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</row>
    <row r="191" spans="1:20" ht="16.5">
      <c r="A191" s="1"/>
      <c r="B191" s="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</row>
    <row r="192" spans="1:20" ht="16.5">
      <c r="A192" s="1"/>
      <c r="B192" s="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</row>
    <row r="193" spans="1:20" ht="16.5">
      <c r="A193" s="1"/>
      <c r="B193" s="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</row>
    <row r="194" spans="1:20" ht="16.5">
      <c r="A194" s="1"/>
      <c r="B194" s="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</row>
    <row r="195" spans="1:20" ht="16.5">
      <c r="A195" s="1"/>
      <c r="B195" s="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</row>
    <row r="196" spans="1:20" ht="16.5">
      <c r="A196" s="1"/>
      <c r="B196" s="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</row>
    <row r="197" spans="1:20" ht="16.5">
      <c r="A197" s="1"/>
      <c r="B197" s="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</row>
    <row r="198" spans="1:20" ht="16.5">
      <c r="A198" s="1"/>
      <c r="B198" s="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</row>
    <row r="199" spans="1:20" ht="16.5">
      <c r="A199" s="1"/>
      <c r="B199" s="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</row>
    <row r="200" spans="1:20" ht="16.5">
      <c r="A200" s="1"/>
      <c r="B200" s="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</row>
    <row r="201" spans="1:20" ht="16.5">
      <c r="A201" s="1"/>
      <c r="B201" s="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</row>
    <row r="202" spans="1:20" ht="16.5">
      <c r="A202" s="1"/>
      <c r="B202" s="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</row>
    <row r="203" spans="1:20" ht="16.5">
      <c r="A203" s="1"/>
      <c r="B203" s="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</row>
    <row r="204" spans="1:20" ht="16.5">
      <c r="A204" s="1"/>
      <c r="B204" s="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</row>
    <row r="205" spans="1:20" ht="16.5">
      <c r="A205" s="1"/>
      <c r="B205" s="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</row>
    <row r="206" spans="1:20" ht="16.5">
      <c r="A206" s="1"/>
      <c r="B206" s="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</row>
    <row r="207" spans="1:20" ht="16.5">
      <c r="A207" s="1"/>
      <c r="B207" s="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</row>
    <row r="208" spans="1:20" ht="16.5">
      <c r="A208" s="1"/>
      <c r="B208" s="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</row>
    <row r="209" spans="1:20" ht="16.5">
      <c r="A209" s="1"/>
      <c r="B209" s="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</row>
    <row r="210" spans="1:20" ht="16.5">
      <c r="A210" s="1"/>
      <c r="B210" s="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</row>
    <row r="211" spans="1:20" ht="16.5">
      <c r="A211" s="1"/>
      <c r="B211" s="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</row>
    <row r="212" spans="1:20" ht="16.5">
      <c r="A212" s="1"/>
      <c r="B212" s="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</row>
    <row r="213" spans="1:20" ht="16.5">
      <c r="A213" s="1"/>
      <c r="B213" s="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</row>
    <row r="214" spans="1:20" ht="16.5">
      <c r="A214" s="1"/>
      <c r="B214" s="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</row>
    <row r="215" spans="1:20" ht="16.5">
      <c r="A215" s="1"/>
      <c r="B215" s="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</row>
    <row r="216" spans="1:20" ht="16.5">
      <c r="A216" s="1"/>
      <c r="B216" s="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</row>
    <row r="217" spans="1:20" ht="16.5">
      <c r="A217" s="1"/>
      <c r="B217" s="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</row>
    <row r="218" spans="1:20" ht="16.5">
      <c r="A218" s="1"/>
      <c r="B218" s="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</row>
    <row r="219" spans="1:20" ht="16.5">
      <c r="A219" s="1"/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</row>
    <row r="220" spans="1:20" ht="16.5">
      <c r="A220" s="1"/>
      <c r="B220" s="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</row>
    <row r="221" spans="1:20" ht="16.5">
      <c r="A221" s="1"/>
      <c r="B221" s="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</row>
    <row r="222" spans="1:20" ht="16.5">
      <c r="A222" s="1"/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</row>
    <row r="223" spans="1:20" ht="16.5">
      <c r="A223" s="1"/>
      <c r="B223" s="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</row>
    <row r="224" spans="1:20" ht="16.5">
      <c r="A224" s="1"/>
      <c r="B224" s="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</row>
    <row r="225" spans="1:20" ht="16.5">
      <c r="A225" s="1"/>
      <c r="B225" s="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</row>
    <row r="226" spans="1:20" ht="16.5">
      <c r="A226" s="1"/>
      <c r="B226" s="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</row>
    <row r="227" spans="1:20" ht="16.5">
      <c r="A227" s="1"/>
      <c r="B227" s="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</row>
    <row r="228" spans="1:20" ht="16.5">
      <c r="A228" s="1"/>
      <c r="B228" s="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</row>
    <row r="229" spans="1:20" ht="16.5">
      <c r="A229" s="1"/>
      <c r="B229" s="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</row>
    <row r="230" spans="1:20" ht="16.5">
      <c r="A230" s="1"/>
      <c r="B230" s="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</row>
    <row r="231" spans="1:20" ht="16.5">
      <c r="A231" s="1"/>
      <c r="B231" s="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</row>
    <row r="232" spans="1:20" ht="16.5">
      <c r="A232" s="1"/>
      <c r="B232" s="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</row>
    <row r="233" spans="1:20" ht="16.5">
      <c r="A233" s="1"/>
      <c r="B233" s="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</row>
    <row r="234" spans="1:20" ht="16.5">
      <c r="A234" s="1"/>
      <c r="B234" s="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</row>
    <row r="235" spans="1:20" ht="16.5">
      <c r="A235" s="1"/>
      <c r="B235" s="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</row>
    <row r="236" spans="1:20" ht="16.5">
      <c r="A236" s="1"/>
      <c r="B236" s="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</row>
    <row r="237" spans="1:20" ht="16.5">
      <c r="A237" s="1"/>
      <c r="B237" s="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</row>
    <row r="238" spans="1:20" ht="16.5">
      <c r="A238" s="1"/>
      <c r="B238" s="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</row>
    <row r="239" spans="1:20" ht="16.5">
      <c r="A239" s="1"/>
      <c r="B239" s="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</row>
    <row r="240" spans="1:20" ht="16.5">
      <c r="A240" s="1"/>
      <c r="B240" s="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</row>
    <row r="241" spans="1:20" ht="16.5">
      <c r="A241" s="1"/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</row>
    <row r="242" spans="1:20" ht="16.5">
      <c r="A242" s="1"/>
      <c r="B242" s="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</row>
    <row r="243" spans="1:20" ht="16.5">
      <c r="A243" s="1"/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</row>
    <row r="244" spans="1:20" ht="16.5">
      <c r="A244" s="1"/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</row>
    <row r="245" spans="1:20" ht="16.5">
      <c r="A245" s="1"/>
      <c r="B245" s="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</row>
    <row r="246" spans="1:20" ht="16.5">
      <c r="A246" s="1"/>
      <c r="B246" s="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</row>
    <row r="247" spans="1:20" ht="16.5">
      <c r="A247" s="1"/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</row>
    <row r="248" spans="1:20" ht="16.5">
      <c r="A248" s="1"/>
      <c r="B248" s="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</row>
    <row r="249" spans="1:20" ht="16.5">
      <c r="A249" s="1"/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</row>
    <row r="250" spans="1:20" ht="16.5">
      <c r="A250" s="1"/>
      <c r="B250" s="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</row>
    <row r="251" spans="1:20" ht="16.5">
      <c r="A251" s="1"/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</row>
    <row r="252" spans="1:20" ht="16.5">
      <c r="A252" s="1"/>
      <c r="B252" s="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</row>
    <row r="253" spans="1:20" ht="16.5">
      <c r="A253" s="1"/>
      <c r="B253" s="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</row>
    <row r="254" spans="1:20" ht="16.5">
      <c r="A254" s="1"/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</row>
    <row r="255" spans="1:20" ht="16.5">
      <c r="A255" s="1"/>
      <c r="B255" s="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</row>
    <row r="256" spans="1:20" ht="16.5">
      <c r="A256" s="1"/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</row>
    <row r="257" spans="1:20" ht="16.5">
      <c r="A257" s="1"/>
      <c r="B257" s="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</row>
    <row r="258" spans="1:20" ht="16.5">
      <c r="A258" s="1"/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</row>
    <row r="259" spans="1:20" ht="16.5">
      <c r="A259" s="1"/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</row>
    <row r="260" spans="1:20" ht="16.5">
      <c r="A260" s="1"/>
      <c r="B260" s="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</row>
    <row r="261" spans="1:20" ht="16.5">
      <c r="A261" s="1"/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</row>
    <row r="262" spans="1:20" ht="16.5">
      <c r="A262" s="1"/>
      <c r="B262" s="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</row>
    <row r="263" spans="1:20" ht="16.5">
      <c r="A263" s="1"/>
      <c r="B263" s="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</row>
    <row r="264" spans="1:20" ht="16.5">
      <c r="A264" s="1"/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</row>
    <row r="265" spans="1:20" ht="16.5">
      <c r="A265" s="1"/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</row>
    <row r="266" spans="1:20" ht="16.5">
      <c r="A266" s="1"/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</row>
    <row r="267" spans="1:20" ht="16.5">
      <c r="A267" s="1"/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</row>
    <row r="268" spans="1:20" ht="16.5">
      <c r="A268" s="1"/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</row>
    <row r="269" spans="1:20" ht="16.5">
      <c r="A269" s="1"/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</row>
    <row r="270" spans="1:20" ht="16.5">
      <c r="A270" s="1"/>
      <c r="B270" s="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</row>
    <row r="271" spans="1:20" ht="16.5">
      <c r="A271" s="1"/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</row>
    <row r="272" spans="1:20" ht="16.5">
      <c r="A272" s="1"/>
      <c r="B272" s="7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</row>
    <row r="273" spans="1:20" ht="16.5">
      <c r="A273" s="1"/>
      <c r="B273" s="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</row>
    <row r="274" spans="1:20" ht="16.5">
      <c r="A274" s="1"/>
      <c r="B274" s="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</row>
    <row r="275" spans="1:20" ht="16.5">
      <c r="A275" s="1"/>
      <c r="B275" s="7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</row>
    <row r="276" spans="1:20" ht="16.5">
      <c r="A276" s="1"/>
      <c r="B276" s="7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</row>
    <row r="277" spans="1:20" ht="16.5">
      <c r="A277" s="1"/>
      <c r="B277" s="7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</row>
    <row r="278" spans="1:20" ht="16.5">
      <c r="A278" s="1"/>
      <c r="B278" s="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</row>
    <row r="279" spans="1:20" ht="16.5">
      <c r="A279" s="1"/>
      <c r="B279" s="7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</row>
  </sheetData>
  <sheetProtection/>
  <mergeCells count="32">
    <mergeCell ref="Q47:R47"/>
    <mergeCell ref="A47:B47"/>
    <mergeCell ref="Q38:R38"/>
    <mergeCell ref="Q40:R40"/>
    <mergeCell ref="Q41:R41"/>
    <mergeCell ref="Q42:R42"/>
    <mergeCell ref="Q39:R39"/>
    <mergeCell ref="Q17:R17"/>
    <mergeCell ref="Q18:R18"/>
    <mergeCell ref="Q9:R9"/>
    <mergeCell ref="Q10:R10"/>
    <mergeCell ref="Q34:R34"/>
    <mergeCell ref="Q13:R13"/>
    <mergeCell ref="Q14:R14"/>
    <mergeCell ref="Q15:R15"/>
    <mergeCell ref="Q16:R16"/>
    <mergeCell ref="Q1:R1"/>
    <mergeCell ref="Q3:R3"/>
    <mergeCell ref="Q4:R4"/>
    <mergeCell ref="Q5:R5"/>
    <mergeCell ref="Q2:R2"/>
    <mergeCell ref="Q8:R8"/>
    <mergeCell ref="Q36:R36"/>
    <mergeCell ref="A48:B48"/>
    <mergeCell ref="A3:B3"/>
    <mergeCell ref="A19:B19"/>
    <mergeCell ref="A37:B37"/>
    <mergeCell ref="A30:B30"/>
    <mergeCell ref="Q11:R11"/>
    <mergeCell ref="Q12:R12"/>
    <mergeCell ref="Q6:R6"/>
    <mergeCell ref="Q7:R7"/>
  </mergeCells>
  <printOptions gridLines="1" horizontalCentered="1" verticalCentered="1"/>
  <pageMargins left="0.23" right="0.3" top="0.82" bottom="1" header="0.4" footer="0.5"/>
  <pageSetup horizontalDpi="300" verticalDpi="300" orientation="landscape"/>
  <headerFooter alignWithMargins="0">
    <oddHeader xml:space="preserve">&amp;C&amp;"Georgia,Regular"&amp;15One Year Running Budget proposal for 30 CP/MR children day care center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</dc:creator>
  <cp:keywords/>
  <dc:description/>
  <cp:lastModifiedBy>Nacchal Nachiappan</cp:lastModifiedBy>
  <cp:lastPrinted>2011-12-12T20:11:01Z</cp:lastPrinted>
  <dcterms:created xsi:type="dcterms:W3CDTF">2007-11-29T17:33:41Z</dcterms:created>
  <dcterms:modified xsi:type="dcterms:W3CDTF">2012-01-22T15:30:09Z</dcterms:modified>
  <cp:category/>
  <cp:version/>
  <cp:contentType/>
  <cp:contentStatus/>
</cp:coreProperties>
</file>