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400" windowWidth="12120" windowHeight="9120" activeTab="1"/>
  </bookViews>
  <sheets>
    <sheet name="Total" sheetId="1" r:id="rId1"/>
    <sheet name="Rented van budget" sheetId="2" r:id="rId2"/>
  </sheets>
  <definedNames/>
  <calcPr fullCalcOnLoad="1"/>
</workbook>
</file>

<file path=xl/sharedStrings.xml><?xml version="1.0" encoding="utf-8"?>
<sst xmlns="http://schemas.openxmlformats.org/spreadsheetml/2006/main" count="108" uniqueCount="98">
  <si>
    <t>250.00 / per month</t>
  </si>
  <si>
    <t>50.00Rs from 20 children/month</t>
  </si>
  <si>
    <t>Disesl for the van</t>
  </si>
  <si>
    <t>$ 50.00 conversion</t>
  </si>
  <si>
    <t>Vechical insurance for the two wheeler</t>
  </si>
  <si>
    <t>Expenses for the Month of December</t>
  </si>
  <si>
    <t>Balance</t>
  </si>
  <si>
    <t>Amount recived details</t>
  </si>
  <si>
    <t>Amount</t>
  </si>
  <si>
    <t>$</t>
  </si>
  <si>
    <t>Amount recived from Asha foundaton Irvine</t>
  </si>
  <si>
    <t>Total expneses details  amount</t>
  </si>
  <si>
    <t>Balance amount</t>
  </si>
  <si>
    <t>Rs</t>
  </si>
  <si>
    <t>Total esstimate budget details</t>
  </si>
  <si>
    <t xml:space="preserve">Date </t>
  </si>
  <si>
    <t>Estimate Expenses for Hariksha Learning Center 2009 - 2010</t>
  </si>
  <si>
    <t>Hariksha CP/MR Learning Center one year running budget</t>
  </si>
  <si>
    <t>Expected contribuition from Parents and Local Sponsor</t>
  </si>
  <si>
    <t xml:space="preserve"> </t>
  </si>
  <si>
    <t>Proposed budget from Asha Foundation</t>
  </si>
  <si>
    <t>14.12.2009</t>
  </si>
  <si>
    <t>Expenses for the Month of January 2010</t>
  </si>
  <si>
    <t>Ist year budget balance amount (Cash on Hand)</t>
  </si>
  <si>
    <t>25.02.2010</t>
  </si>
  <si>
    <t>Expenses for the Month of February 2010</t>
  </si>
  <si>
    <t>Expenses for the Month of March 2010</t>
  </si>
  <si>
    <t>Learning Center Recognization Expenses (stability, fire, Sanitary certificate expenses)</t>
  </si>
  <si>
    <t>Children c table and 11 chairs</t>
  </si>
  <si>
    <t>Childrens travelling by van (rentcost)</t>
  </si>
  <si>
    <t xml:space="preserve">In direct expenses for children </t>
  </si>
  <si>
    <t>650.00 per children</t>
  </si>
  <si>
    <t>350 X 12 month</t>
  </si>
  <si>
    <t>Ass. Spl eduactor</t>
  </si>
  <si>
    <t>700 / perday x 240 days</t>
  </si>
  <si>
    <t>6000 per month x 12 months</t>
  </si>
  <si>
    <t>Speech therapist</t>
  </si>
  <si>
    <t>Physio therapist</t>
  </si>
  <si>
    <t>11 rs per head X 240 working days</t>
  </si>
  <si>
    <t>3.00 per children</t>
  </si>
  <si>
    <t>S.No</t>
  </si>
  <si>
    <t>Particulars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</si>
  <si>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</si>
  <si>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</si>
  <si>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</si>
  <si>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</si>
  <si>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</si>
  <si>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</si>
  <si>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</si>
  <si>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</si>
  <si>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</si>
  <si>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</si>
  <si>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</si>
  <si>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</si>
  <si>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</si>
  <si>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</si>
  <si>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</si>
  <si>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</si>
  <si>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</si>
  <si>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</si>
  <si>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</si>
  <si>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</si>
  <si>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</si>
  <si>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</si>
  <si>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</si>
  <si>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</si>
  <si>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</si>
  <si>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</si>
  <si>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</si>
  <si>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</si>
  <si>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</si>
  <si>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</si>
  <si>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</si>
  <si>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</si>
  <si>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</si>
  <si>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</si>
  <si>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</si>
  <si>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</si>
  <si>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</si>
  <si>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</si>
  <si>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</si>
  <si>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Total</t>
  </si>
  <si>
    <t>Rs/P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</si>
  <si>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</si>
  <si>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</si>
  <si>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</si>
  <si>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</si>
  <si>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</si>
  <si>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</si>
  <si>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</si>
  <si>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</si>
  <si>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</si>
  <si>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Telephone, Magazine &amp; fax charges</t>
  </si>
  <si>
    <t>appx</t>
  </si>
  <si>
    <t xml:space="preserve">notice, drama show, </t>
  </si>
  <si>
    <t>Total estimate Budget / year</t>
  </si>
  <si>
    <t>Rent for the school</t>
  </si>
  <si>
    <t>300.00 X 6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</si>
</sst>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sz val="12"/>
      <name val="Times New Roman"/>
      <family val="1"/>
    </font>
    <font>
      <b/>
      <sz val="14"/>
      <color indexed="17"/>
      <name val="Garamond"/>
      <family val="1"/>
    </font>
    <font>
      <b/>
      <sz val="13"/>
      <name val="Garamond"/>
      <family val="1"/>
    </font>
    <font>
      <b/>
      <sz val="13"/>
      <color indexed="12"/>
      <name val="Garamond"/>
      <family val="1"/>
    </font>
    <font>
      <b/>
      <sz val="14"/>
      <color indexed="12"/>
      <name val="Garamond"/>
      <family val="1"/>
    </font>
    <font>
      <b/>
      <sz val="10"/>
      <color indexed="17"/>
      <name val="Arial"/>
      <family val="2"/>
    </font>
    <font>
      <b/>
      <sz val="11"/>
      <color indexed="10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10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3" fillId="0" borderId="0" xfId="15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4" fillId="0" borderId="0" xfId="15" applyFont="1" applyAlignment="1">
      <alignment/>
    </xf>
    <xf numFmtId="43" fontId="17" fillId="0" borderId="0" xfId="0" applyNumberFormat="1" applyFont="1" applyFill="1" applyAlignment="1">
      <alignment/>
    </xf>
    <xf numFmtId="43" fontId="3" fillId="0" borderId="0" xfId="15" applyFont="1" applyAlignment="1">
      <alignment/>
    </xf>
    <xf numFmtId="43" fontId="10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3" fontId="6" fillId="2" borderId="0" xfId="15" applyFont="1" applyFill="1" applyAlignment="1">
      <alignment/>
    </xf>
    <xf numFmtId="43" fontId="12" fillId="3" borderId="0" xfId="15" applyFont="1" applyFill="1" applyAlignment="1">
      <alignment/>
    </xf>
    <xf numFmtId="43" fontId="14" fillId="3" borderId="0" xfId="0" applyNumberFormat="1" applyFont="1" applyFill="1" applyAlignment="1">
      <alignment/>
    </xf>
    <xf numFmtId="43" fontId="3" fillId="2" borderId="0" xfId="0" applyNumberFormat="1" applyFont="1" applyFill="1" applyAlignment="1">
      <alignment/>
    </xf>
    <xf numFmtId="43" fontId="3" fillId="4" borderId="0" xfId="0" applyNumberFormat="1" applyFont="1" applyFill="1" applyAlignment="1">
      <alignment/>
    </xf>
    <xf numFmtId="43" fontId="7" fillId="0" borderId="0" xfId="15" applyFont="1" applyAlignment="1">
      <alignment/>
    </xf>
    <xf numFmtId="43" fontId="2" fillId="0" borderId="0" xfId="15" applyFont="1" applyFill="1" applyAlignment="1">
      <alignment/>
    </xf>
    <xf numFmtId="43" fontId="3" fillId="4" borderId="0" xfId="15" applyFont="1" applyFill="1" applyAlignment="1">
      <alignment/>
    </xf>
    <xf numFmtId="43" fontId="3" fillId="3" borderId="0" xfId="15" applyFont="1" applyFill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B4">
      <selection activeCell="C9" sqref="C9"/>
    </sheetView>
  </sheetViews>
  <sheetFormatPr defaultColWidth="11.421875" defaultRowHeight="12.75"/>
  <cols>
    <col min="1" max="1" width="7.140625" style="0" bestFit="1" customWidth="1"/>
    <col min="2" max="2" width="52.8515625" style="0" customWidth="1"/>
    <col min="3" max="3" width="18.421875" style="0" customWidth="1"/>
    <col min="4" max="4" width="15.00390625" style="0" bestFit="1" customWidth="1"/>
    <col min="5" max="5" width="15.140625" style="0" bestFit="1" customWidth="1"/>
    <col min="6" max="16384" width="8.8515625" style="0" customWidth="1"/>
  </cols>
  <sheetData>
    <row r="1" spans="1:5" ht="81" customHeight="1">
      <c r="A1" s="31" t="s">
        <v>40</v>
      </c>
      <c r="B1" s="31" t="s">
        <v>41</v>
      </c>
      <c r="C1" s="32" t="s">
        <v>16</v>
      </c>
      <c r="D1" s="32" t="s">
        <v>11</v>
      </c>
      <c r="E1" s="32" t="s">
        <v>12</v>
      </c>
    </row>
    <row r="2" spans="1:5" ht="16.5">
      <c r="A2" s="11"/>
      <c r="B2" s="12"/>
      <c r="C2" s="11" t="s">
        <v>13</v>
      </c>
      <c r="D2" s="26"/>
      <c r="E2" s="1"/>
    </row>
    <row r="3" spans="1:5" ht="18.75" customHeight="1">
      <c r="A3" s="51" t="s">
        <v>14</v>
      </c>
      <c r="B3" s="51"/>
      <c r="D3" s="26"/>
      <c r="E3" s="1"/>
    </row>
    <row r="4" spans="1:5" ht="16.5">
      <c r="A4" s="52" t="s">
        <v>17</v>
      </c>
      <c r="B4" s="52"/>
      <c r="C4" s="27">
        <v>893548</v>
      </c>
      <c r="D4" s="42">
        <f>'Rented van budget'!D41+'Rented van budget'!E41+'Rented van budget'!F43+'Rented van budget'!G43</f>
        <v>328128.5</v>
      </c>
      <c r="E4" s="36">
        <f>C4-D4</f>
        <v>565419.5</v>
      </c>
    </row>
    <row r="5" spans="1:5" ht="16.5">
      <c r="A5" s="38" t="s">
        <v>18</v>
      </c>
      <c r="C5" s="33">
        <v>12000</v>
      </c>
      <c r="D5" s="41">
        <f>'Rented van budget'!D42+'Rented van budget'!E42+'Rented van budget'!F42+'Rented van budget'!G42</f>
        <v>37265</v>
      </c>
      <c r="E5" s="37">
        <f>C5-D5</f>
        <v>-25265</v>
      </c>
    </row>
    <row r="6" spans="1:5" ht="16.5">
      <c r="A6" s="53" t="s">
        <v>20</v>
      </c>
      <c r="B6" s="53"/>
      <c r="C6" s="34">
        <f>C4-C5</f>
        <v>881548</v>
      </c>
      <c r="D6" s="43">
        <f>C14</f>
        <v>442663</v>
      </c>
      <c r="E6" s="34">
        <f>C6-D6</f>
        <v>438885</v>
      </c>
    </row>
    <row r="7" spans="1:5" ht="16.5">
      <c r="A7" s="54" t="s">
        <v>19</v>
      </c>
      <c r="B7" s="54"/>
      <c r="C7" s="28"/>
      <c r="D7" s="29"/>
      <c r="E7" s="28"/>
    </row>
    <row r="8" spans="1:5" ht="16.5">
      <c r="A8" s="49" t="s">
        <v>7</v>
      </c>
      <c r="B8" s="49"/>
      <c r="C8" s="24" t="s">
        <v>8</v>
      </c>
      <c r="D8" s="24" t="s">
        <v>15</v>
      </c>
      <c r="E8" s="24" t="s">
        <v>9</v>
      </c>
    </row>
    <row r="9" spans="1:5" ht="16.5">
      <c r="A9" s="49" t="s">
        <v>23</v>
      </c>
      <c r="B9" s="49"/>
      <c r="C9" s="30">
        <v>30793</v>
      </c>
      <c r="D9" s="24"/>
      <c r="E9" s="24"/>
    </row>
    <row r="10" spans="1:5" ht="16.5">
      <c r="A10" s="50" t="s">
        <v>10</v>
      </c>
      <c r="B10" s="50"/>
      <c r="C10" s="46">
        <v>182895</v>
      </c>
      <c r="D10" s="25" t="s">
        <v>21</v>
      </c>
      <c r="E10" s="30">
        <v>4000</v>
      </c>
    </row>
    <row r="11" spans="1:5" ht="16.5">
      <c r="A11" s="50" t="s">
        <v>10</v>
      </c>
      <c r="B11" s="50"/>
      <c r="C11" s="47">
        <v>228975</v>
      </c>
      <c r="D11" s="23" t="s">
        <v>24</v>
      </c>
      <c r="E11" s="30">
        <v>5000</v>
      </c>
    </row>
    <row r="12" spans="1:5" ht="16.5">
      <c r="A12" s="50"/>
      <c r="B12" s="50"/>
      <c r="C12" s="45"/>
      <c r="D12" s="23"/>
      <c r="E12" s="25"/>
    </row>
    <row r="13" spans="1:5" ht="16.5">
      <c r="A13" s="50"/>
      <c r="B13" s="50"/>
      <c r="C13" s="45"/>
      <c r="D13" s="23"/>
      <c r="E13" s="25"/>
    </row>
    <row r="14" spans="1:5" ht="16.5">
      <c r="A14" s="49" t="s">
        <v>81</v>
      </c>
      <c r="B14" s="49"/>
      <c r="C14" s="35">
        <f>SUM(C9:C13)</f>
        <v>442663</v>
      </c>
      <c r="D14" s="24"/>
      <c r="E14" s="30">
        <f>SUM(E10:E13)</f>
        <v>9000</v>
      </c>
    </row>
  </sheetData>
  <mergeCells count="11">
    <mergeCell ref="A3:B3"/>
    <mergeCell ref="A4:B4"/>
    <mergeCell ref="A6:B6"/>
    <mergeCell ref="A7:B7"/>
    <mergeCell ref="A8:B8"/>
    <mergeCell ref="A10:B10"/>
    <mergeCell ref="A14:B14"/>
    <mergeCell ref="A11:B11"/>
    <mergeCell ref="A9:B9"/>
    <mergeCell ref="A12:B12"/>
    <mergeCell ref="A13:B13"/>
  </mergeCells>
  <printOptions gridLines="1" horizontalCentered="1" verticalCentered="1"/>
  <pageMargins left="0.75" right="0.75" top="0.88" bottom="1" header="0.5" footer="0.5"/>
  <pageSetup horizontalDpi="1200" verticalDpi="1200" orientation="landscape"/>
  <headerFooter alignWithMargins="0">
    <oddHeader xml:space="preserve">&amp;C&amp;"Garamond,Bold"&amp;16Total one year esstimate runing  butget for hariksha CP/MR Learning Center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 topLeftCell="A26">
      <pane xSplit="3" topLeftCell="D1" activePane="topRight" state="frozen"/>
      <selection pane="topLeft" activeCell="A1" sqref="A1"/>
      <selection pane="topRight" activeCell="B26" sqref="B26"/>
    </sheetView>
  </sheetViews>
  <sheetFormatPr defaultColWidth="11.421875" defaultRowHeight="12.75"/>
  <cols>
    <col min="1" max="1" width="5.28125" style="0" customWidth="1"/>
    <col min="2" max="2" width="42.421875" style="7" customWidth="1"/>
    <col min="3" max="3" width="13.140625" style="0" customWidth="1"/>
    <col min="4" max="4" width="12.140625" style="0" bestFit="1" customWidth="1"/>
    <col min="5" max="5" width="12.7109375" style="0" bestFit="1" customWidth="1"/>
    <col min="6" max="8" width="12.7109375" style="0" customWidth="1"/>
    <col min="9" max="9" width="18.28125" style="0" customWidth="1"/>
    <col min="10" max="10" width="12.421875" style="0" customWidth="1"/>
    <col min="11" max="16384" width="8.8515625" style="0" customWidth="1"/>
  </cols>
  <sheetData>
    <row r="1" spans="1:12" ht="96.75" customHeight="1">
      <c r="A1" s="2" t="s">
        <v>40</v>
      </c>
      <c r="B1" s="2" t="s">
        <v>41</v>
      </c>
      <c r="C1" s="3" t="s">
        <v>42</v>
      </c>
      <c r="D1" s="3" t="s">
        <v>5</v>
      </c>
      <c r="E1" s="3" t="s">
        <v>22</v>
      </c>
      <c r="F1" s="3" t="s">
        <v>25</v>
      </c>
      <c r="G1" s="3" t="s">
        <v>26</v>
      </c>
      <c r="H1" s="3" t="s">
        <v>6</v>
      </c>
      <c r="I1" s="56" t="s">
        <v>75</v>
      </c>
      <c r="J1" s="56"/>
      <c r="K1" s="1"/>
      <c r="L1" s="1"/>
    </row>
    <row r="2" spans="1:12" ht="22.5" customHeight="1">
      <c r="A2" s="11"/>
      <c r="B2" s="12"/>
      <c r="C2" s="15" t="s">
        <v>82</v>
      </c>
      <c r="D2" s="15" t="s">
        <v>82</v>
      </c>
      <c r="E2" s="15" t="s">
        <v>82</v>
      </c>
      <c r="F2" s="15" t="s">
        <v>82</v>
      </c>
      <c r="G2" s="15"/>
      <c r="H2" s="15" t="s">
        <v>82</v>
      </c>
      <c r="I2" s="55"/>
      <c r="J2" s="55"/>
      <c r="K2" s="1"/>
      <c r="L2" s="1"/>
    </row>
    <row r="3" spans="1:12" ht="16.5">
      <c r="A3" s="51" t="s">
        <v>43</v>
      </c>
      <c r="B3" s="51"/>
      <c r="C3" s="14"/>
      <c r="D3" s="14"/>
      <c r="E3" s="14"/>
      <c r="F3" s="14"/>
      <c r="G3" s="14"/>
      <c r="H3" s="14"/>
      <c r="I3" s="55"/>
      <c r="J3" s="55"/>
      <c r="K3" s="1"/>
      <c r="L3" s="1"/>
    </row>
    <row r="4" spans="1:12" s="10" customFormat="1" ht="15">
      <c r="A4" s="4">
        <v>1</v>
      </c>
      <c r="B4" s="5" t="s">
        <v>44</v>
      </c>
      <c r="C4" s="14">
        <f>30*11*240</f>
        <v>79200</v>
      </c>
      <c r="D4" s="14">
        <f>150+67+200+41+17+230+173+4955+750+1388.5</f>
        <v>7971.5</v>
      </c>
      <c r="E4" s="14">
        <f>27+508+150+5300+200+1198</f>
        <v>7383</v>
      </c>
      <c r="F4" s="14">
        <f>223+150+466+255+27+4985+1008</f>
        <v>7114</v>
      </c>
      <c r="G4" s="14">
        <f>25+155+100+150+40+120+300+6287+787</f>
        <v>7964</v>
      </c>
      <c r="H4" s="14">
        <f aca="true" t="shared" si="0" ref="H4:H39">C4-D4-E4-F4-G4</f>
        <v>48767.5</v>
      </c>
      <c r="I4" s="55" t="s">
        <v>38</v>
      </c>
      <c r="J4" s="55"/>
      <c r="K4" s="9"/>
      <c r="L4" s="9"/>
    </row>
    <row r="5" spans="1:12" s="10" customFormat="1" ht="15">
      <c r="A5" s="4">
        <f aca="true" t="shared" si="1" ref="A5:A17">A4+1</f>
        <v>2</v>
      </c>
      <c r="B5" s="5" t="s">
        <v>45</v>
      </c>
      <c r="C5" s="14">
        <f>650*30</f>
        <v>19500</v>
      </c>
      <c r="D5" s="14"/>
      <c r="E5" s="14">
        <f>12000+400</f>
        <v>12400</v>
      </c>
      <c r="F5" s="14">
        <f>457+160+1500+2505</f>
        <v>4622</v>
      </c>
      <c r="G5" s="14">
        <v>2550</v>
      </c>
      <c r="H5" s="14">
        <f t="shared" si="0"/>
        <v>-72</v>
      </c>
      <c r="I5" s="55" t="s">
        <v>31</v>
      </c>
      <c r="J5" s="55"/>
      <c r="K5" s="9"/>
      <c r="L5" s="9"/>
    </row>
    <row r="6" spans="1:12" s="10" customFormat="1" ht="15">
      <c r="A6" s="4">
        <f t="shared" si="1"/>
        <v>3</v>
      </c>
      <c r="B6" s="5" t="s">
        <v>46</v>
      </c>
      <c r="C6" s="14">
        <f>3*30*240</f>
        <v>21600</v>
      </c>
      <c r="D6" s="14">
        <f>375+520</f>
        <v>895</v>
      </c>
      <c r="E6" s="14">
        <f>616+375</f>
        <v>991</v>
      </c>
      <c r="F6" s="14">
        <f>420+752</f>
        <v>1172</v>
      </c>
      <c r="G6" s="14">
        <f>375+856</f>
        <v>1231</v>
      </c>
      <c r="H6" s="14">
        <f t="shared" si="0"/>
        <v>17311</v>
      </c>
      <c r="I6" s="55" t="s">
        <v>39</v>
      </c>
      <c r="J6" s="55"/>
      <c r="K6" s="9"/>
      <c r="L6" s="9"/>
    </row>
    <row r="7" spans="1:12" s="10" customFormat="1" ht="15">
      <c r="A7" s="4">
        <f t="shared" si="1"/>
        <v>4</v>
      </c>
      <c r="B7" s="5" t="s">
        <v>47</v>
      </c>
      <c r="C7" s="14">
        <f>30*30</f>
        <v>900</v>
      </c>
      <c r="D7" s="14"/>
      <c r="E7" s="14"/>
      <c r="F7" s="14"/>
      <c r="G7" s="14"/>
      <c r="H7" s="14">
        <f t="shared" si="0"/>
        <v>900</v>
      </c>
      <c r="I7" s="55" t="s">
        <v>83</v>
      </c>
      <c r="J7" s="55"/>
      <c r="K7" s="9"/>
      <c r="L7" s="9"/>
    </row>
    <row r="8" spans="1:12" s="10" customFormat="1" ht="15">
      <c r="A8" s="4">
        <f t="shared" si="1"/>
        <v>5</v>
      </c>
      <c r="B8" s="5" t="s">
        <v>48</v>
      </c>
      <c r="C8" s="14">
        <f>150*15*12</f>
        <v>27000</v>
      </c>
      <c r="D8" s="14">
        <f>74+98+120+72+103.5+300+66+106+616+68</f>
        <v>1623.5</v>
      </c>
      <c r="E8" s="14">
        <f>133+126</f>
        <v>259</v>
      </c>
      <c r="F8" s="14">
        <f>50+36.5+91+79+47+35</f>
        <v>338.5</v>
      </c>
      <c r="G8" s="14">
        <f>100+75+13+78+35+42</f>
        <v>343</v>
      </c>
      <c r="H8" s="14">
        <f t="shared" si="0"/>
        <v>24436</v>
      </c>
      <c r="I8" s="55" t="s">
        <v>84</v>
      </c>
      <c r="J8" s="55"/>
      <c r="K8" s="9"/>
      <c r="L8" s="9"/>
    </row>
    <row r="9" spans="1:12" s="10" customFormat="1" ht="15">
      <c r="A9" s="4">
        <f t="shared" si="1"/>
        <v>6</v>
      </c>
      <c r="B9" s="5" t="s">
        <v>49</v>
      </c>
      <c r="C9" s="14">
        <f>200*10*12</f>
        <v>24000</v>
      </c>
      <c r="D9" s="14">
        <f>220+338+2420</f>
        <v>2978</v>
      </c>
      <c r="E9" s="14">
        <v>945</v>
      </c>
      <c r="F9" s="14">
        <f>220+2345</f>
        <v>2565</v>
      </c>
      <c r="G9" s="14">
        <f>110+2103</f>
        <v>2213</v>
      </c>
      <c r="H9" s="14">
        <f t="shared" si="0"/>
        <v>15299</v>
      </c>
      <c r="I9" s="55" t="s">
        <v>85</v>
      </c>
      <c r="J9" s="55"/>
      <c r="K9" s="9"/>
      <c r="L9" s="9"/>
    </row>
    <row r="10" spans="1:12" s="10" customFormat="1" ht="15">
      <c r="A10" s="4">
        <f t="shared" si="1"/>
        <v>7</v>
      </c>
      <c r="B10" s="5" t="s">
        <v>50</v>
      </c>
      <c r="C10" s="14">
        <v>4500</v>
      </c>
      <c r="D10" s="14"/>
      <c r="E10" s="14"/>
      <c r="F10" s="14"/>
      <c r="G10" s="14"/>
      <c r="H10" s="14">
        <f t="shared" si="0"/>
        <v>4500</v>
      </c>
      <c r="I10" s="55" t="s">
        <v>86</v>
      </c>
      <c r="J10" s="55"/>
      <c r="K10" s="9"/>
      <c r="L10" s="9"/>
    </row>
    <row r="11" spans="1:12" s="10" customFormat="1" ht="15">
      <c r="A11" s="4">
        <f t="shared" si="1"/>
        <v>8</v>
      </c>
      <c r="B11" s="5" t="s">
        <v>51</v>
      </c>
      <c r="C11" s="14">
        <v>1500</v>
      </c>
      <c r="D11" s="14">
        <f>30+30</f>
        <v>60</v>
      </c>
      <c r="E11" s="14"/>
      <c r="F11" s="14"/>
      <c r="G11" s="14"/>
      <c r="H11" s="14">
        <f t="shared" si="0"/>
        <v>1440</v>
      </c>
      <c r="I11" s="55" t="s">
        <v>87</v>
      </c>
      <c r="J11" s="55"/>
      <c r="K11" s="9"/>
      <c r="L11" s="9"/>
    </row>
    <row r="12" spans="1:12" s="10" customFormat="1" ht="15">
      <c r="A12" s="4">
        <f t="shared" si="1"/>
        <v>9</v>
      </c>
      <c r="B12" s="5" t="s">
        <v>52</v>
      </c>
      <c r="C12" s="14">
        <v>1500</v>
      </c>
      <c r="D12" s="14"/>
      <c r="E12" s="14"/>
      <c r="F12" s="14"/>
      <c r="G12" s="14">
        <v>435</v>
      </c>
      <c r="H12" s="14">
        <f t="shared" si="0"/>
        <v>1065</v>
      </c>
      <c r="I12" s="55" t="s">
        <v>88</v>
      </c>
      <c r="J12" s="55"/>
      <c r="K12" s="9"/>
      <c r="L12" s="9"/>
    </row>
    <row r="13" spans="1:12" s="10" customFormat="1" ht="15">
      <c r="A13" s="4">
        <f t="shared" si="1"/>
        <v>10</v>
      </c>
      <c r="B13" s="5" t="s">
        <v>53</v>
      </c>
      <c r="C13" s="14">
        <v>2500</v>
      </c>
      <c r="D13" s="14"/>
      <c r="E13" s="14">
        <f>135+480</f>
        <v>615</v>
      </c>
      <c r="F13" s="14"/>
      <c r="G13" s="14"/>
      <c r="H13" s="14">
        <f t="shared" si="0"/>
        <v>1885</v>
      </c>
      <c r="I13" s="55" t="s">
        <v>89</v>
      </c>
      <c r="J13" s="55"/>
      <c r="K13" s="9"/>
      <c r="L13" s="9"/>
    </row>
    <row r="14" spans="1:12" s="10" customFormat="1" ht="15">
      <c r="A14" s="4">
        <f t="shared" si="1"/>
        <v>11</v>
      </c>
      <c r="B14" s="5" t="s">
        <v>54</v>
      </c>
      <c r="C14" s="14">
        <v>5000</v>
      </c>
      <c r="D14" s="14">
        <f>360+1859+38</f>
        <v>2257</v>
      </c>
      <c r="E14" s="14"/>
      <c r="F14" s="14"/>
      <c r="G14" s="14"/>
      <c r="H14" s="14">
        <f t="shared" si="0"/>
        <v>2743</v>
      </c>
      <c r="I14" s="55"/>
      <c r="J14" s="55"/>
      <c r="K14" s="9"/>
      <c r="L14" s="9"/>
    </row>
    <row r="15" spans="1:12" s="10" customFormat="1" ht="15">
      <c r="A15" s="4">
        <f t="shared" si="1"/>
        <v>12</v>
      </c>
      <c r="B15" s="5" t="s">
        <v>55</v>
      </c>
      <c r="C15" s="14">
        <v>6000</v>
      </c>
      <c r="D15" s="14">
        <v>200</v>
      </c>
      <c r="E15" s="14">
        <f>570+60</f>
        <v>630</v>
      </c>
      <c r="F15" s="14">
        <f>27+16+175+125+16</f>
        <v>359</v>
      </c>
      <c r="G15" s="14">
        <f>90+2000</f>
        <v>2090</v>
      </c>
      <c r="H15" s="14">
        <f t="shared" si="0"/>
        <v>2721</v>
      </c>
      <c r="I15" s="55" t="s">
        <v>90</v>
      </c>
      <c r="J15" s="55"/>
      <c r="K15" s="9"/>
      <c r="L15" s="9"/>
    </row>
    <row r="16" spans="1:12" s="10" customFormat="1" ht="15">
      <c r="A16" s="4">
        <f t="shared" si="1"/>
        <v>13</v>
      </c>
      <c r="B16" s="5" t="s">
        <v>56</v>
      </c>
      <c r="C16" s="14">
        <v>8000</v>
      </c>
      <c r="D16" s="14"/>
      <c r="E16" s="14">
        <f>268+912</f>
        <v>1180</v>
      </c>
      <c r="F16" s="14">
        <f>70+117+685</f>
        <v>872</v>
      </c>
      <c r="G16" s="14">
        <f>31+24+2430+969</f>
        <v>3454</v>
      </c>
      <c r="H16" s="14">
        <f t="shared" si="0"/>
        <v>2494</v>
      </c>
      <c r="I16" s="55" t="s">
        <v>91</v>
      </c>
      <c r="J16" s="55"/>
      <c r="K16" s="9"/>
      <c r="L16" s="9"/>
    </row>
    <row r="17" spans="1:12" s="10" customFormat="1" ht="27.75">
      <c r="A17" s="4">
        <f t="shared" si="1"/>
        <v>14</v>
      </c>
      <c r="B17" s="5" t="s">
        <v>57</v>
      </c>
      <c r="C17" s="14">
        <v>9000</v>
      </c>
      <c r="D17" s="14"/>
      <c r="E17" s="14">
        <f>565+1279+60+1950</f>
        <v>3854</v>
      </c>
      <c r="F17" s="14">
        <v>70</v>
      </c>
      <c r="G17" s="14"/>
      <c r="H17" s="14">
        <f t="shared" si="0"/>
        <v>5076</v>
      </c>
      <c r="I17" s="55"/>
      <c r="J17" s="55"/>
      <c r="K17" s="9"/>
      <c r="L17" s="9"/>
    </row>
    <row r="18" spans="1:12" s="10" customFormat="1" ht="15">
      <c r="A18" s="4">
        <v>15</v>
      </c>
      <c r="B18" s="5" t="s">
        <v>58</v>
      </c>
      <c r="C18" s="14">
        <v>12000</v>
      </c>
      <c r="D18" s="14"/>
      <c r="E18" s="14"/>
      <c r="F18" s="14"/>
      <c r="G18" s="14"/>
      <c r="H18" s="14">
        <f t="shared" si="0"/>
        <v>12000</v>
      </c>
      <c r="I18" s="51" t="s">
        <v>76</v>
      </c>
      <c r="J18" s="51"/>
      <c r="K18" s="9"/>
      <c r="L18" s="9"/>
    </row>
    <row r="19" spans="1:12" ht="16.5">
      <c r="A19" s="51" t="s">
        <v>60</v>
      </c>
      <c r="B19" s="51"/>
      <c r="C19" s="14"/>
      <c r="D19" s="14"/>
      <c r="E19" s="14"/>
      <c r="F19" s="14"/>
      <c r="G19" s="14"/>
      <c r="H19" s="14"/>
      <c r="I19" s="13"/>
      <c r="J19" s="13" t="s">
        <v>82</v>
      </c>
      <c r="K19" s="1"/>
      <c r="L19" s="1"/>
    </row>
    <row r="20" spans="1:12" s="10" customFormat="1" ht="15">
      <c r="A20" s="4">
        <v>16</v>
      </c>
      <c r="B20" s="5" t="s">
        <v>61</v>
      </c>
      <c r="C20" s="14">
        <f>J28*12</f>
        <v>312000</v>
      </c>
      <c r="D20" s="14">
        <f>4700+5200+1700+850+1200+1200+1100</f>
        <v>15950</v>
      </c>
      <c r="E20" s="14">
        <f>4700+5200+1700+850+1300+1200+1100</f>
        <v>16050</v>
      </c>
      <c r="F20" s="14">
        <f>4700+5200+1700+1250+1200+1100+250</f>
        <v>15400</v>
      </c>
      <c r="G20" s="14">
        <f>4700+5200+1700+1000+1250+1200+1100</f>
        <v>16150</v>
      </c>
      <c r="H20" s="14">
        <f t="shared" si="0"/>
        <v>248450</v>
      </c>
      <c r="I20" s="4" t="s">
        <v>77</v>
      </c>
      <c r="J20" s="14">
        <v>6000</v>
      </c>
      <c r="K20" s="9"/>
      <c r="L20" s="9"/>
    </row>
    <row r="21" spans="1:12" s="10" customFormat="1" ht="15">
      <c r="A21" s="4">
        <f>A20+1</f>
        <v>17</v>
      </c>
      <c r="B21" s="5" t="s">
        <v>62</v>
      </c>
      <c r="C21" s="14">
        <f>C20/100*13.65</f>
        <v>42588</v>
      </c>
      <c r="D21" s="14"/>
      <c r="E21" s="14"/>
      <c r="F21" s="14"/>
      <c r="G21" s="14"/>
      <c r="H21" s="14">
        <f t="shared" si="0"/>
        <v>42588</v>
      </c>
      <c r="I21" s="4" t="s">
        <v>78</v>
      </c>
      <c r="J21" s="14">
        <v>5000</v>
      </c>
      <c r="K21" s="9"/>
      <c r="L21" s="9"/>
    </row>
    <row r="22" spans="1:12" s="10" customFormat="1" ht="15">
      <c r="A22" s="4">
        <f>A21+1</f>
        <v>18</v>
      </c>
      <c r="B22" s="5" t="s">
        <v>63</v>
      </c>
      <c r="C22" s="14">
        <f>12*240*7</f>
        <v>20160</v>
      </c>
      <c r="D22" s="14">
        <f>161+50+4350</f>
        <v>4561</v>
      </c>
      <c r="E22" s="14">
        <f>65+33</f>
        <v>98</v>
      </c>
      <c r="F22" s="14">
        <f>285</f>
        <v>285</v>
      </c>
      <c r="G22" s="14">
        <f>65</f>
        <v>65</v>
      </c>
      <c r="H22" s="14">
        <f t="shared" si="0"/>
        <v>15151</v>
      </c>
      <c r="I22" s="4" t="s">
        <v>33</v>
      </c>
      <c r="J22" s="14">
        <v>2000</v>
      </c>
      <c r="K22" s="9"/>
      <c r="L22" s="9"/>
    </row>
    <row r="23" spans="1:12" s="10" customFormat="1" ht="15">
      <c r="A23" s="4">
        <f>A22+1</f>
        <v>19</v>
      </c>
      <c r="B23" s="5" t="s">
        <v>64</v>
      </c>
      <c r="C23" s="14">
        <f>800*7</f>
        <v>5600</v>
      </c>
      <c r="D23" s="14"/>
      <c r="E23" s="14"/>
      <c r="F23" s="14"/>
      <c r="G23" s="14"/>
      <c r="H23" s="14">
        <f t="shared" si="0"/>
        <v>5600</v>
      </c>
      <c r="I23" s="22" t="s">
        <v>37</v>
      </c>
      <c r="J23" s="14">
        <v>5500</v>
      </c>
      <c r="K23" s="9"/>
      <c r="L23" s="9"/>
    </row>
    <row r="24" spans="1:12" s="10" customFormat="1" ht="15">
      <c r="A24" s="4">
        <v>20</v>
      </c>
      <c r="B24" s="5" t="s">
        <v>71</v>
      </c>
      <c r="C24" s="14">
        <v>3500</v>
      </c>
      <c r="D24" s="14">
        <f>10+45+422</f>
        <v>477</v>
      </c>
      <c r="E24" s="14">
        <f>20+300</f>
        <v>320</v>
      </c>
      <c r="F24" s="14">
        <f>20+20+400</f>
        <v>440</v>
      </c>
      <c r="G24" s="14">
        <f>20+300</f>
        <v>320</v>
      </c>
      <c r="H24" s="14">
        <f t="shared" si="0"/>
        <v>1943</v>
      </c>
      <c r="I24" s="21" t="s">
        <v>36</v>
      </c>
      <c r="J24" s="14">
        <v>3000</v>
      </c>
      <c r="K24" s="9"/>
      <c r="L24" s="9"/>
    </row>
    <row r="25" spans="1:12" ht="27.75">
      <c r="A25" s="4"/>
      <c r="B25" s="5" t="s">
        <v>27</v>
      </c>
      <c r="C25" s="14"/>
      <c r="D25" s="14"/>
      <c r="E25" s="14"/>
      <c r="F25" s="14">
        <v>5200</v>
      </c>
      <c r="G25" s="14">
        <v>1000</v>
      </c>
      <c r="H25" s="14">
        <f t="shared" si="0"/>
        <v>-6200</v>
      </c>
      <c r="I25" s="4" t="s">
        <v>79</v>
      </c>
      <c r="J25" s="14">
        <v>1500</v>
      </c>
      <c r="K25" s="1"/>
      <c r="L25" s="1"/>
    </row>
    <row r="26" spans="1:12" s="10" customFormat="1" ht="15">
      <c r="A26" s="13"/>
      <c r="B26" s="48" t="s">
        <v>28</v>
      </c>
      <c r="C26" s="14"/>
      <c r="D26" s="14"/>
      <c r="E26" s="14"/>
      <c r="F26" s="14"/>
      <c r="G26" s="14">
        <v>14000</v>
      </c>
      <c r="H26" s="14">
        <f t="shared" si="0"/>
        <v>-14000</v>
      </c>
      <c r="I26" s="4" t="s">
        <v>79</v>
      </c>
      <c r="J26" s="14">
        <v>1500</v>
      </c>
      <c r="K26" s="9"/>
      <c r="L26" s="9"/>
    </row>
    <row r="27" spans="1:12" s="10" customFormat="1" ht="15">
      <c r="A27" s="51" t="s">
        <v>65</v>
      </c>
      <c r="B27" s="51"/>
      <c r="C27" s="14"/>
      <c r="D27" s="14"/>
      <c r="E27" s="14"/>
      <c r="F27" s="14"/>
      <c r="G27" s="14"/>
      <c r="H27" s="14"/>
      <c r="I27" s="4" t="s">
        <v>80</v>
      </c>
      <c r="J27" s="14">
        <v>1500</v>
      </c>
      <c r="K27" s="9"/>
      <c r="L27" s="9"/>
    </row>
    <row r="28" spans="1:12" s="10" customFormat="1" ht="15">
      <c r="A28" s="4">
        <v>21</v>
      </c>
      <c r="B28" s="5" t="s">
        <v>66</v>
      </c>
      <c r="C28" s="14">
        <v>4000</v>
      </c>
      <c r="D28" s="14">
        <f>240</f>
        <v>240</v>
      </c>
      <c r="E28" s="14">
        <v>525</v>
      </c>
      <c r="F28" s="14">
        <f>100+100+50+660</f>
        <v>910</v>
      </c>
      <c r="G28" s="14">
        <f>2200</f>
        <v>2200</v>
      </c>
      <c r="H28" s="14">
        <f t="shared" si="0"/>
        <v>125</v>
      </c>
      <c r="I28" s="11" t="s">
        <v>81</v>
      </c>
      <c r="J28" s="15">
        <f>SUM(J20:J27)</f>
        <v>26000</v>
      </c>
      <c r="K28" s="9"/>
      <c r="L28" s="9"/>
    </row>
    <row r="29" spans="1:12" s="10" customFormat="1" ht="15">
      <c r="A29" s="4">
        <f>A28+1</f>
        <v>22</v>
      </c>
      <c r="B29" s="5" t="s">
        <v>67</v>
      </c>
      <c r="C29" s="14">
        <v>750</v>
      </c>
      <c r="D29" s="14">
        <f>16+20+32</f>
        <v>68</v>
      </c>
      <c r="E29" s="14"/>
      <c r="F29" s="14">
        <v>540</v>
      </c>
      <c r="G29" s="14">
        <f>25</f>
        <v>25</v>
      </c>
      <c r="H29" s="14">
        <f t="shared" si="0"/>
        <v>117</v>
      </c>
      <c r="I29" s="11"/>
      <c r="J29" s="15"/>
      <c r="K29" s="9"/>
      <c r="L29" s="9"/>
    </row>
    <row r="30" spans="1:12" s="10" customFormat="1" ht="15">
      <c r="A30" s="4">
        <f>A29+1</f>
        <v>23</v>
      </c>
      <c r="B30" s="5" t="s">
        <v>68</v>
      </c>
      <c r="C30" s="14">
        <v>2000</v>
      </c>
      <c r="D30" s="14">
        <f>160+72+45+126+24+15+92+48+77</f>
        <v>659</v>
      </c>
      <c r="E30" s="14">
        <f>21+132+234</f>
        <v>387</v>
      </c>
      <c r="F30" s="14">
        <f>485</f>
        <v>485</v>
      </c>
      <c r="G30" s="14">
        <f>215</f>
        <v>215</v>
      </c>
      <c r="H30" s="14">
        <f t="shared" si="0"/>
        <v>254</v>
      </c>
      <c r="I30" s="11"/>
      <c r="J30" s="14"/>
      <c r="K30" s="9"/>
      <c r="L30" s="9"/>
    </row>
    <row r="31" spans="1:12" s="10" customFormat="1" ht="15">
      <c r="A31" s="4">
        <f>A30+1</f>
        <v>24</v>
      </c>
      <c r="B31" s="5" t="s">
        <v>69</v>
      </c>
      <c r="C31" s="14">
        <f>6*300</f>
        <v>1800</v>
      </c>
      <c r="D31" s="14">
        <v>20</v>
      </c>
      <c r="E31" s="14">
        <v>40</v>
      </c>
      <c r="F31" s="14"/>
      <c r="G31" s="14">
        <v>40</v>
      </c>
      <c r="H31" s="14">
        <f t="shared" si="0"/>
        <v>1700</v>
      </c>
      <c r="I31" s="55" t="s">
        <v>97</v>
      </c>
      <c r="J31" s="55"/>
      <c r="K31" s="9"/>
      <c r="L31" s="9"/>
    </row>
    <row r="32" spans="1:12" ht="18.75" customHeight="1">
      <c r="A32" s="4">
        <f>A31+1</f>
        <v>25</v>
      </c>
      <c r="B32" s="5" t="s">
        <v>92</v>
      </c>
      <c r="C32" s="14">
        <f>350*12</f>
        <v>4200</v>
      </c>
      <c r="D32" s="14">
        <f>113+251+120</f>
        <v>484</v>
      </c>
      <c r="E32" s="14">
        <f>122+199</f>
        <v>321</v>
      </c>
      <c r="F32" s="14">
        <f>119+425</f>
        <v>544</v>
      </c>
      <c r="G32" s="14">
        <f>105+201</f>
        <v>306</v>
      </c>
      <c r="H32" s="14">
        <f t="shared" si="0"/>
        <v>2545</v>
      </c>
      <c r="I32" s="55" t="s">
        <v>32</v>
      </c>
      <c r="J32" s="55"/>
      <c r="K32" s="1"/>
      <c r="L32" s="1"/>
    </row>
    <row r="33" spans="1:12" s="10" customFormat="1" ht="15">
      <c r="A33" s="4">
        <v>27</v>
      </c>
      <c r="B33" s="5" t="s">
        <v>96</v>
      </c>
      <c r="C33" s="14">
        <f>2000*12</f>
        <v>24000</v>
      </c>
      <c r="D33" s="14">
        <v>1015</v>
      </c>
      <c r="E33" s="14">
        <f>60000+60+200+150+100+200+200+1000</f>
        <v>61910</v>
      </c>
      <c r="F33" s="14"/>
      <c r="G33" s="14"/>
      <c r="H33" s="14">
        <f t="shared" si="0"/>
        <v>-38925</v>
      </c>
      <c r="I33" s="4"/>
      <c r="J33" s="4"/>
      <c r="K33" s="9"/>
      <c r="L33" s="9"/>
    </row>
    <row r="34" spans="1:12" s="10" customFormat="1" ht="15">
      <c r="A34" s="51" t="s">
        <v>30</v>
      </c>
      <c r="B34" s="51"/>
      <c r="C34" s="14"/>
      <c r="D34" s="14"/>
      <c r="E34" s="14"/>
      <c r="F34" s="14"/>
      <c r="G34" s="14"/>
      <c r="H34" s="14"/>
      <c r="I34" s="4"/>
      <c r="J34" s="4"/>
      <c r="K34" s="9"/>
      <c r="L34" s="9"/>
    </row>
    <row r="35" spans="1:12" s="10" customFormat="1" ht="15">
      <c r="A35" s="4">
        <v>28</v>
      </c>
      <c r="B35" s="8" t="s">
        <v>4</v>
      </c>
      <c r="C35" s="16">
        <v>750</v>
      </c>
      <c r="D35" s="16"/>
      <c r="E35" s="16"/>
      <c r="F35" s="16"/>
      <c r="G35" s="16"/>
      <c r="H35" s="14">
        <f t="shared" si="0"/>
        <v>750</v>
      </c>
      <c r="I35" s="55" t="s">
        <v>93</v>
      </c>
      <c r="J35" s="55"/>
      <c r="K35" s="9"/>
      <c r="L35" s="9"/>
    </row>
    <row r="36" spans="1:12" s="10" customFormat="1" ht="15">
      <c r="A36" s="4">
        <v>29</v>
      </c>
      <c r="B36" s="8" t="s">
        <v>29</v>
      </c>
      <c r="C36" s="16">
        <f>700*240</f>
        <v>168000</v>
      </c>
      <c r="D36" s="16">
        <f>7000+8400</f>
        <v>15400</v>
      </c>
      <c r="E36" s="16">
        <f>7000+7000</f>
        <v>14000</v>
      </c>
      <c r="F36" s="16">
        <v>14000</v>
      </c>
      <c r="G36" s="16">
        <f>15400</f>
        <v>15400</v>
      </c>
      <c r="H36" s="14">
        <f t="shared" si="0"/>
        <v>109200</v>
      </c>
      <c r="I36" s="55" t="s">
        <v>34</v>
      </c>
      <c r="J36" s="55"/>
      <c r="K36" s="9"/>
      <c r="L36" s="9"/>
    </row>
    <row r="37" spans="1:12" s="10" customFormat="1" ht="15">
      <c r="A37" s="4">
        <f>A36+1</f>
        <v>30</v>
      </c>
      <c r="B37" s="8" t="s">
        <v>2</v>
      </c>
      <c r="C37" s="16">
        <f>6000*12</f>
        <v>72000</v>
      </c>
      <c r="D37" s="16">
        <f>816+930+200+978+1113+1205+1335+1044</f>
        <v>7621</v>
      </c>
      <c r="E37" s="16">
        <f>1249+1052+1139+885+1040+1150</f>
        <v>6515</v>
      </c>
      <c r="F37" s="16">
        <f>300+975+1468+250+700+700+800</f>
        <v>5193</v>
      </c>
      <c r="G37" s="16">
        <f>850+400+1065+2060+800+1490</f>
        <v>6665</v>
      </c>
      <c r="H37" s="14">
        <f t="shared" si="0"/>
        <v>46006</v>
      </c>
      <c r="I37" s="55" t="s">
        <v>35</v>
      </c>
      <c r="J37" s="55"/>
      <c r="K37" s="9"/>
      <c r="L37" s="9"/>
    </row>
    <row r="38" spans="1:12" s="10" customFormat="1" ht="15">
      <c r="A38" s="4">
        <f>A37+1</f>
        <v>31</v>
      </c>
      <c r="B38" s="8" t="s">
        <v>70</v>
      </c>
      <c r="C38" s="16">
        <f>250*12</f>
        <v>3000</v>
      </c>
      <c r="D38" s="16">
        <f>300+150</f>
        <v>450</v>
      </c>
      <c r="E38" s="16"/>
      <c r="F38" s="16"/>
      <c r="G38" s="16"/>
      <c r="H38" s="14">
        <f t="shared" si="0"/>
        <v>2550</v>
      </c>
      <c r="I38" s="55" t="s">
        <v>0</v>
      </c>
      <c r="J38" s="55"/>
      <c r="K38" s="9"/>
      <c r="L38" s="9"/>
    </row>
    <row r="39" spans="1:12" s="10" customFormat="1" ht="15">
      <c r="A39" s="4">
        <f>A38+1</f>
        <v>32</v>
      </c>
      <c r="B39" s="8" t="s">
        <v>72</v>
      </c>
      <c r="C39" s="16">
        <v>5000</v>
      </c>
      <c r="D39" s="16"/>
      <c r="E39" s="16"/>
      <c r="F39" s="16"/>
      <c r="G39" s="16"/>
      <c r="H39" s="14">
        <f t="shared" si="0"/>
        <v>5000</v>
      </c>
      <c r="I39" s="55" t="s">
        <v>94</v>
      </c>
      <c r="J39" s="55"/>
      <c r="K39" s="9"/>
      <c r="L39" s="9"/>
    </row>
    <row r="40" spans="1:12" s="10" customFormat="1" ht="15">
      <c r="A40" s="4">
        <f>A39+1</f>
        <v>33</v>
      </c>
      <c r="B40" s="8" t="s">
        <v>59</v>
      </c>
      <c r="C40" s="16">
        <v>2000</v>
      </c>
      <c r="D40" s="16"/>
      <c r="E40" s="16"/>
      <c r="F40" s="16"/>
      <c r="G40" s="16"/>
      <c r="H40" s="14">
        <f>C40-D40-E40-F40-G40</f>
        <v>2000</v>
      </c>
      <c r="I40" s="9"/>
      <c r="J40" s="9"/>
      <c r="K40" s="9"/>
      <c r="L40" s="9"/>
    </row>
    <row r="41" spans="1:12" s="10" customFormat="1" ht="15">
      <c r="A41" s="4"/>
      <c r="B41" s="8" t="s">
        <v>95</v>
      </c>
      <c r="C41" s="17">
        <f>SUM(C4:C40)</f>
        <v>893548</v>
      </c>
      <c r="D41" s="17">
        <f>SUM(D4:D40)</f>
        <v>62930</v>
      </c>
      <c r="E41" s="17">
        <f>SUM(E4:E40)</f>
        <v>128423</v>
      </c>
      <c r="F41" s="17">
        <f>SUM(F4:F40)</f>
        <v>60109.5</v>
      </c>
      <c r="G41" s="17">
        <f>SUM(G4:G40)</f>
        <v>76666</v>
      </c>
      <c r="H41" s="15">
        <f>C41-D41-E41-F41-G41</f>
        <v>565419.5</v>
      </c>
      <c r="I41" s="9"/>
      <c r="J41" s="9"/>
      <c r="K41" s="9"/>
      <c r="L41" s="9"/>
    </row>
    <row r="42" spans="1:12" ht="16.5">
      <c r="A42" s="54" t="s">
        <v>73</v>
      </c>
      <c r="B42" s="54"/>
      <c r="C42" s="18">
        <f>50*20*12</f>
        <v>12000</v>
      </c>
      <c r="D42" s="40">
        <v>5750</v>
      </c>
      <c r="E42" s="40">
        <f>300+250+150</f>
        <v>700</v>
      </c>
      <c r="F42" s="40">
        <f>1570+12795+250+300+250+2450</f>
        <v>17615</v>
      </c>
      <c r="G42" s="40">
        <f>12000+750+250+200</f>
        <v>13200</v>
      </c>
      <c r="H42" s="15">
        <f>C42-D42-E42-F42-G42</f>
        <v>-25265</v>
      </c>
      <c r="I42" s="58" t="s">
        <v>1</v>
      </c>
      <c r="J42" s="58"/>
      <c r="K42" s="1"/>
      <c r="L42" s="1"/>
    </row>
    <row r="43" spans="1:12" ht="16.5">
      <c r="A43" s="57" t="s">
        <v>74</v>
      </c>
      <c r="B43" s="57"/>
      <c r="C43" s="44">
        <f>C41-C42</f>
        <v>881548</v>
      </c>
      <c r="D43" s="39">
        <f>D41</f>
        <v>62930</v>
      </c>
      <c r="E43" s="39">
        <f>E41</f>
        <v>128423</v>
      </c>
      <c r="F43" s="39">
        <f>F41</f>
        <v>60109.5</v>
      </c>
      <c r="G43" s="39">
        <f>G41</f>
        <v>76666</v>
      </c>
      <c r="H43" s="15">
        <f>C43-D43-E43-G43</f>
        <v>613529</v>
      </c>
      <c r="I43" s="20">
        <f>C43/50</f>
        <v>17630.96</v>
      </c>
      <c r="J43" s="1" t="s">
        <v>3</v>
      </c>
      <c r="K43" s="1"/>
      <c r="L43" s="1"/>
    </row>
    <row r="44" spans="1:12" ht="16.5">
      <c r="A44" s="1"/>
      <c r="B44" s="19"/>
      <c r="C44" s="20"/>
      <c r="D44" s="20"/>
      <c r="E44" s="20"/>
      <c r="F44" s="20"/>
      <c r="G44" s="20"/>
      <c r="H44" s="20"/>
      <c r="I44" s="1"/>
      <c r="J44" s="1"/>
      <c r="K44" s="1"/>
      <c r="L44" s="1"/>
    </row>
    <row r="45" spans="9:12" ht="16.5">
      <c r="I45" s="1"/>
      <c r="J45" s="1"/>
      <c r="K45" s="1"/>
      <c r="L45" s="1"/>
    </row>
    <row r="46" spans="9:12" ht="16.5">
      <c r="I46" s="1"/>
      <c r="J46" s="1"/>
      <c r="K46" s="1"/>
      <c r="L46" s="1"/>
    </row>
    <row r="47" spans="9:12" ht="16.5">
      <c r="I47" s="1"/>
      <c r="J47" s="1"/>
      <c r="K47" s="1"/>
      <c r="L47" s="1"/>
    </row>
    <row r="48" spans="9:12" ht="16.5">
      <c r="I48" s="1"/>
      <c r="J48" s="1"/>
      <c r="K48" s="1"/>
      <c r="L48" s="1"/>
    </row>
    <row r="49" spans="9:12" ht="16.5">
      <c r="I49" s="1"/>
      <c r="J49" s="1"/>
      <c r="K49" s="1"/>
      <c r="L49" s="1"/>
    </row>
    <row r="50" spans="9:12" ht="16.5">
      <c r="I50" s="1"/>
      <c r="J50" s="1"/>
      <c r="K50" s="1"/>
      <c r="L50" s="1"/>
    </row>
    <row r="51" spans="9:12" ht="16.5">
      <c r="I51" s="1"/>
      <c r="J51" s="1"/>
      <c r="K51" s="1"/>
      <c r="L51" s="1"/>
    </row>
    <row r="52" spans="1:12" ht="16.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>
      <c r="A54" s="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>
      <c r="A55" s="1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5">
      <c r="A56" s="1"/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>
      <c r="A58" s="1"/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5">
      <c r="A59" s="1"/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5">
      <c r="A60" s="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>
      <c r="A61" s="1"/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>
      <c r="A62" s="1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>
      <c r="A63" s="1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>
      <c r="A64" s="1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>
      <c r="A65" s="1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>
      <c r="A66" s="1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>
      <c r="A67" s="1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5">
      <c r="A68" s="1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>
      <c r="A72" s="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.5">
      <c r="A73" s="1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6.5">
      <c r="A75" s="1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6.5">
      <c r="A76" s="1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5">
      <c r="A77" s="1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6.5">
      <c r="A78" s="1"/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6.5">
      <c r="A79" s="1"/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5">
      <c r="A80" s="1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6.5">
      <c r="A81" s="1"/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6.5">
      <c r="A82" s="1"/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5">
      <c r="A83" s="1"/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6.5">
      <c r="A84" s="1"/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6.5">
      <c r="A85" s="1"/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>
      <c r="A86" s="1"/>
      <c r="B86" s="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5">
      <c r="A87" s="1"/>
      <c r="B87" s="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5">
      <c r="A88" s="1"/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5">
      <c r="A89" s="1"/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6.5">
      <c r="A90" s="1"/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6.5">
      <c r="A91" s="1"/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5">
      <c r="A92" s="1"/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6.5">
      <c r="A93" s="1"/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6.5">
      <c r="A94" s="1"/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6.5">
      <c r="A95" s="1"/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6.5">
      <c r="A96" s="1"/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6.5">
      <c r="A97" s="1"/>
      <c r="B97" s="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6.5">
      <c r="A98" s="1"/>
      <c r="B98" s="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6.5">
      <c r="A99" s="1"/>
      <c r="B99" s="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6.5">
      <c r="A100" s="1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6.5">
      <c r="A101" s="1"/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6.5">
      <c r="A102" s="1"/>
      <c r="B102" s="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6.5">
      <c r="A103" s="1"/>
      <c r="B103" s="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6.5">
      <c r="A104" s="1"/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6.5">
      <c r="A105" s="1"/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6.5">
      <c r="A106" s="1"/>
      <c r="B106" s="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6.5">
      <c r="A107" s="1"/>
      <c r="B107" s="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6.5">
      <c r="A108" s="1"/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6.5">
      <c r="A109" s="1"/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6.5">
      <c r="A110" s="1"/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6.5">
      <c r="A111" s="1"/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6.5">
      <c r="A112" s="1"/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6.5">
      <c r="A113" s="1"/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6.5">
      <c r="A114" s="1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6.5">
      <c r="A115" s="1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6.5">
      <c r="A116" s="1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5">
      <c r="A117" s="1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6.5">
      <c r="A118" s="1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6.5">
      <c r="A119" s="1"/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6.5">
      <c r="A120" s="1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6.5">
      <c r="A121" s="1"/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6.5">
      <c r="A122" s="1"/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6.5">
      <c r="A123" s="1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6.5">
      <c r="A124" s="1"/>
      <c r="B124" s="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6.5">
      <c r="A125" s="1"/>
      <c r="B125" s="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6.5">
      <c r="A126" s="1"/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6.5">
      <c r="A127" s="1"/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6.5">
      <c r="A128" s="1"/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6.5">
      <c r="A129" s="1"/>
      <c r="B129" s="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6.5">
      <c r="A130" s="1"/>
      <c r="B130" s="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6.5">
      <c r="A131" s="1"/>
      <c r="B131" s="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6.5">
      <c r="A132" s="1"/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6.5">
      <c r="A133" s="1"/>
      <c r="B133" s="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6.5">
      <c r="A134" s="1"/>
      <c r="B134" s="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6.5">
      <c r="A135" s="1"/>
      <c r="B135" s="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6.5">
      <c r="A136" s="1"/>
      <c r="B136" s="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6.5">
      <c r="A137" s="1"/>
      <c r="B137" s="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6.5">
      <c r="A138" s="1"/>
      <c r="B138" s="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6.5">
      <c r="A139" s="1"/>
      <c r="B139" s="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6.5">
      <c r="A140" s="1"/>
      <c r="B140" s="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6.5">
      <c r="A141" s="1"/>
      <c r="B141" s="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6.5">
      <c r="A142" s="1"/>
      <c r="B142" s="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6.5">
      <c r="A143" s="1"/>
      <c r="B143" s="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6.5">
      <c r="A144" s="1"/>
      <c r="B144" s="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6.5">
      <c r="A145" s="1"/>
      <c r="B145" s="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6.5">
      <c r="A146" s="1"/>
      <c r="B146" s="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6.5">
      <c r="A147" s="1"/>
      <c r="B147" s="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6.5">
      <c r="A148" s="1"/>
      <c r="B148" s="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6.5">
      <c r="A149" s="1"/>
      <c r="B149" s="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6.5">
      <c r="A150" s="1"/>
      <c r="B150" s="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6.5">
      <c r="A151" s="1"/>
      <c r="B151" s="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6.5">
      <c r="A152" s="1"/>
      <c r="B152" s="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6.5">
      <c r="A153" s="1"/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6.5">
      <c r="A154" s="1"/>
      <c r="B154" s="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6.5">
      <c r="A155" s="1"/>
      <c r="B155" s="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6.5">
      <c r="A156" s="1"/>
      <c r="B156" s="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6.5">
      <c r="A157" s="1"/>
      <c r="B157" s="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6.5">
      <c r="A158" s="1"/>
      <c r="B158" s="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6.5">
      <c r="A159" s="1"/>
      <c r="B159" s="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6.5">
      <c r="A160" s="1"/>
      <c r="B160" s="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6.5">
      <c r="A161" s="1"/>
      <c r="B161" s="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6.5">
      <c r="A162" s="1"/>
      <c r="B162" s="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6.5">
      <c r="A163" s="1"/>
      <c r="B163" s="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6.5">
      <c r="A164" s="1"/>
      <c r="B164" s="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6.5">
      <c r="A165" s="1"/>
      <c r="B165" s="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6.5">
      <c r="A166" s="1"/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6.5">
      <c r="A167" s="1"/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6.5">
      <c r="A168" s="1"/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6.5">
      <c r="A169" s="1"/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6.5">
      <c r="A170" s="1"/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6.5">
      <c r="A171" s="1"/>
      <c r="B171" s="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6.5">
      <c r="A172" s="1"/>
      <c r="B172" s="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6.5">
      <c r="A173" s="1"/>
      <c r="B173" s="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6.5">
      <c r="A174" s="1"/>
      <c r="B174" s="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6.5">
      <c r="A175" s="1"/>
      <c r="B175" s="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6.5">
      <c r="A176" s="1"/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6.5">
      <c r="A177" s="1"/>
      <c r="B177" s="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6.5">
      <c r="A178" s="1"/>
      <c r="B178" s="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6.5">
      <c r="A179" s="1"/>
      <c r="B179" s="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6.5">
      <c r="A180" s="1"/>
      <c r="B180" s="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6.5">
      <c r="A181" s="1"/>
      <c r="B181" s="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6.5">
      <c r="A182" s="1"/>
      <c r="B182" s="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6.5">
      <c r="A183" s="1"/>
      <c r="B183" s="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6.5">
      <c r="A184" s="1"/>
      <c r="B184" s="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6.5">
      <c r="A185" s="1"/>
      <c r="B185" s="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6.5">
      <c r="A186" s="1"/>
      <c r="B186" s="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6.5">
      <c r="A187" s="1"/>
      <c r="B187" s="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6.5">
      <c r="A188" s="1"/>
      <c r="B188" s="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6.5">
      <c r="A189" s="1"/>
      <c r="B189" s="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6.5">
      <c r="A190" s="1"/>
      <c r="B190" s="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6.5">
      <c r="A191" s="1"/>
      <c r="B191" s="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6.5">
      <c r="A192" s="1"/>
      <c r="B192" s="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6.5">
      <c r="A193" s="1"/>
      <c r="B193" s="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6.5">
      <c r="A194" s="1"/>
      <c r="B194" s="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6.5">
      <c r="A195" s="1"/>
      <c r="B195" s="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6.5">
      <c r="A196" s="1"/>
      <c r="B196" s="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6.5">
      <c r="A197" s="1"/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6.5">
      <c r="A198" s="1"/>
      <c r="B198" s="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6.5">
      <c r="A199" s="1"/>
      <c r="B199" s="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6.5">
      <c r="A200" s="1"/>
      <c r="B200" s="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6.5">
      <c r="A201" s="1"/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6.5">
      <c r="A202" s="1"/>
      <c r="B202" s="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6.5">
      <c r="A203" s="1"/>
      <c r="B203" s="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6.5">
      <c r="A204" s="1"/>
      <c r="B204" s="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6.5">
      <c r="A205" s="1"/>
      <c r="B205" s="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6.5">
      <c r="A206" s="1"/>
      <c r="B206" s="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6.5">
      <c r="A207" s="1"/>
      <c r="B207" s="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6.5">
      <c r="A208" s="1"/>
      <c r="B208" s="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6.5">
      <c r="A209" s="1"/>
      <c r="B209" s="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6.5">
      <c r="A210" s="1"/>
      <c r="B210" s="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6.5">
      <c r="A211" s="1"/>
      <c r="B211" s="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6.5">
      <c r="A212" s="1"/>
      <c r="B212" s="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6.5">
      <c r="A213" s="1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6.5">
      <c r="A214" s="1"/>
      <c r="B214" s="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6.5">
      <c r="A215" s="1"/>
      <c r="B215" s="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6.5">
      <c r="A216" s="1"/>
      <c r="B216" s="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6.5">
      <c r="A217" s="1"/>
      <c r="B217" s="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6.5">
      <c r="A218" s="1"/>
      <c r="B218" s="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6.5">
      <c r="A219" s="1"/>
      <c r="B219" s="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6.5">
      <c r="A220" s="1"/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6.5">
      <c r="A221" s="1"/>
      <c r="B221" s="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6.5">
      <c r="A222" s="1"/>
      <c r="B222" s="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6.5">
      <c r="A223" s="1"/>
      <c r="B223" s="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6.5">
      <c r="A224" s="1"/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6.5">
      <c r="A225" s="1"/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6.5">
      <c r="A226" s="1"/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6.5">
      <c r="A227" s="1"/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6.5">
      <c r="A228" s="1"/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6.5">
      <c r="A229" s="1"/>
      <c r="B229" s="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6.5">
      <c r="A230" s="1"/>
      <c r="B230" s="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6.5">
      <c r="A231" s="1"/>
      <c r="B231" s="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6.5">
      <c r="A232" s="1"/>
      <c r="B232" s="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6.5">
      <c r="A233" s="1"/>
      <c r="B233" s="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6.5">
      <c r="A234" s="1"/>
      <c r="B234" s="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6.5">
      <c r="A235" s="1"/>
      <c r="B235" s="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6.5">
      <c r="A236" s="1"/>
      <c r="B236" s="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6.5">
      <c r="A237" s="1"/>
      <c r="B237" s="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6.5">
      <c r="A238" s="1"/>
      <c r="B238" s="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6.5">
      <c r="A239" s="1"/>
      <c r="B239" s="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6.5">
      <c r="A240" s="1"/>
      <c r="B240" s="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6.5">
      <c r="A241" s="1"/>
      <c r="B241" s="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6.5">
      <c r="A242" s="1"/>
      <c r="B242" s="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6.5">
      <c r="A243" s="1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6.5">
      <c r="A244" s="1"/>
      <c r="B244" s="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6.5">
      <c r="A245" s="1"/>
      <c r="B245" s="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6.5">
      <c r="A246" s="1"/>
      <c r="B246" s="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6.5">
      <c r="A247" s="1"/>
      <c r="B247" s="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6.5">
      <c r="A248" s="1"/>
      <c r="B248" s="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6.5">
      <c r="A249" s="1"/>
      <c r="B249" s="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6.5">
      <c r="A250" s="1"/>
      <c r="B250" s="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6.5">
      <c r="A251" s="1"/>
      <c r="B251" s="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6.5">
      <c r="A252" s="1"/>
      <c r="B252" s="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6.5">
      <c r="A253" s="1"/>
      <c r="B253" s="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6.5">
      <c r="A254" s="1"/>
      <c r="B254" s="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6.5">
      <c r="A255" s="1"/>
      <c r="B255" s="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6.5">
      <c r="A256" s="1"/>
      <c r="B256" s="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6.5">
      <c r="A257" s="1"/>
      <c r="B257" s="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6.5">
      <c r="A258" s="1"/>
      <c r="B258" s="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6.5">
      <c r="A259" s="1"/>
      <c r="B259" s="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6.5">
      <c r="A260" s="1"/>
      <c r="B260" s="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6.5">
      <c r="A261" s="1"/>
      <c r="B261" s="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6.5">
      <c r="A262" s="1"/>
      <c r="B262" s="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6.5">
      <c r="A263" s="1"/>
      <c r="B263" s="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6.5">
      <c r="A264" s="1"/>
      <c r="B264" s="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6.5">
      <c r="A265" s="1"/>
      <c r="B265" s="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6.5">
      <c r="A266" s="1"/>
      <c r="B266" s="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6.5">
      <c r="A267" s="1"/>
      <c r="B267" s="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6.5">
      <c r="A268" s="1"/>
      <c r="B268" s="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6.5">
      <c r="A269" s="1"/>
      <c r="B269" s="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6.5">
      <c r="A270" s="1"/>
      <c r="B270" s="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6.5">
      <c r="A271" s="1"/>
      <c r="B271" s="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6.5">
      <c r="A272" s="1"/>
      <c r="B272" s="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6.5">
      <c r="A273" s="1"/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6.5">
      <c r="A274" s="1"/>
      <c r="B274" s="6"/>
      <c r="C274" s="1"/>
      <c r="D274" s="1"/>
      <c r="E274" s="1"/>
      <c r="F274" s="1"/>
      <c r="G274" s="1"/>
      <c r="H274" s="1"/>
      <c r="I274" s="1"/>
      <c r="J274" s="1"/>
      <c r="K274" s="1"/>
      <c r="L274" s="1"/>
    </row>
  </sheetData>
  <mergeCells count="32">
    <mergeCell ref="A19:B19"/>
    <mergeCell ref="A27:B27"/>
    <mergeCell ref="I31:J31"/>
    <mergeCell ref="A43:B43"/>
    <mergeCell ref="A42:B42"/>
    <mergeCell ref="I42:J42"/>
    <mergeCell ref="I36:J36"/>
    <mergeCell ref="I37:J37"/>
    <mergeCell ref="I38:J38"/>
    <mergeCell ref="I39:J39"/>
    <mergeCell ref="I15:J15"/>
    <mergeCell ref="I16:J16"/>
    <mergeCell ref="I17:J17"/>
    <mergeCell ref="I18:J18"/>
    <mergeCell ref="A3:B3"/>
    <mergeCell ref="I1:J1"/>
    <mergeCell ref="I2:J2"/>
    <mergeCell ref="I3:J3"/>
    <mergeCell ref="I4:J4"/>
    <mergeCell ref="I5:J5"/>
    <mergeCell ref="I6:J6"/>
    <mergeCell ref="I7:J7"/>
    <mergeCell ref="I32:J32"/>
    <mergeCell ref="A34:B34"/>
    <mergeCell ref="I35:J35"/>
    <mergeCell ref="I8:J8"/>
    <mergeCell ref="I9:J9"/>
    <mergeCell ref="I10:J10"/>
    <mergeCell ref="I11:J11"/>
    <mergeCell ref="I12:J12"/>
    <mergeCell ref="I13:J13"/>
    <mergeCell ref="I14:J14"/>
  </mergeCells>
  <printOptions gridLines="1" horizontalCentered="1" verticalCentered="1"/>
  <pageMargins left="0.42" right="0.49" top="1" bottom="0.7" header="0.5" footer="0.5"/>
  <pageSetup horizontalDpi="300" verticalDpi="300" orientation="portrait"/>
  <headerFooter alignWithMargins="0">
    <oddHeader xml:space="preserve">&amp;C&amp;"Bookman Old Style,Bold"&amp;14One year runing 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2009-12-25T10:58:55Z</cp:lastPrinted>
  <dcterms:created xsi:type="dcterms:W3CDTF">2007-11-29T17:33:41Z</dcterms:created>
  <dcterms:modified xsi:type="dcterms:W3CDTF">2010-04-01T20:22:54Z</dcterms:modified>
  <cp:category/>
  <cp:version/>
  <cp:contentType/>
  <cp:contentStatus/>
</cp:coreProperties>
</file>