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zj7dh\Documents\Personal\Asha\2015-16\"/>
    </mc:Choice>
  </mc:AlternateContent>
  <bookViews>
    <workbookView xWindow="0" yWindow="0" windowWidth="24000" windowHeight="9285"/>
  </bookViews>
  <sheets>
    <sheet name="Budget" sheetId="1" r:id="rId1"/>
    <sheet name="Budget analysis" sheetId="2" r:id="rId2"/>
    <sheet name="ASHA Disbursement History" sheetId="6" r:id="rId3"/>
  </sheets>
  <calcPr calcId="152511"/>
  <pivotCaches>
    <pivotCache cacheId="6" r:id="rId4"/>
  </pivotCaches>
</workbook>
</file>

<file path=xl/calcChain.xml><?xml version="1.0" encoding="utf-8"?>
<calcChain xmlns="http://schemas.openxmlformats.org/spreadsheetml/2006/main">
  <c r="K70" i="1" l="1"/>
  <c r="J70" i="1"/>
  <c r="K69" i="1"/>
  <c r="J69" i="1"/>
  <c r="J68" i="1"/>
  <c r="K68" i="1" s="1"/>
  <c r="K67" i="1"/>
  <c r="J67" i="1"/>
  <c r="J66" i="1"/>
  <c r="K66" i="1" s="1"/>
  <c r="K65" i="1"/>
  <c r="J65" i="1"/>
  <c r="J64" i="1"/>
  <c r="K64" i="1" s="1"/>
  <c r="K63" i="1"/>
  <c r="J63" i="1"/>
  <c r="J62" i="1"/>
  <c r="K62" i="1" s="1"/>
  <c r="K61" i="1"/>
  <c r="J61" i="1"/>
  <c r="J60" i="1"/>
  <c r="K60" i="1" s="1"/>
  <c r="J58" i="1"/>
  <c r="K58" i="1" s="1"/>
  <c r="J57" i="1"/>
  <c r="K57" i="1" s="1"/>
  <c r="J55" i="1"/>
  <c r="K55" i="1" s="1"/>
  <c r="J54" i="1"/>
  <c r="K54" i="1" s="1"/>
  <c r="J52" i="1"/>
  <c r="K52" i="1" s="1"/>
  <c r="J51" i="1"/>
  <c r="K51" i="1" s="1"/>
  <c r="J50" i="1"/>
  <c r="K50" i="1" s="1"/>
  <c r="J49" i="1"/>
  <c r="K49" i="1" s="1"/>
  <c r="J48" i="1"/>
  <c r="K48" i="1" s="1"/>
  <c r="J47" i="1"/>
  <c r="K47" i="1" s="1"/>
  <c r="J46" i="1"/>
  <c r="K46" i="1" s="1"/>
  <c r="J45" i="1"/>
  <c r="K45" i="1" s="1"/>
  <c r="J44" i="1"/>
  <c r="K44" i="1" s="1"/>
  <c r="J42" i="1"/>
  <c r="K42" i="1" s="1"/>
  <c r="J41" i="1"/>
  <c r="K41" i="1" s="1"/>
  <c r="J40" i="1"/>
  <c r="K40" i="1" s="1"/>
  <c r="J39" i="1"/>
  <c r="K39" i="1" s="1"/>
  <c r="J38" i="1"/>
  <c r="K38" i="1" s="1"/>
  <c r="J37" i="1"/>
  <c r="K37" i="1" s="1"/>
  <c r="J36" i="1"/>
  <c r="K36" i="1" s="1"/>
  <c r="J35" i="1"/>
  <c r="K35" i="1" s="1"/>
  <c r="J33" i="1"/>
  <c r="K33" i="1" s="1"/>
  <c r="J32" i="1"/>
  <c r="K32" i="1" s="1"/>
  <c r="J31" i="1"/>
  <c r="K31" i="1" s="1"/>
  <c r="K29" i="1"/>
  <c r="J29" i="1"/>
  <c r="J28" i="1"/>
  <c r="K28" i="1" s="1"/>
  <c r="K27" i="1"/>
  <c r="J27" i="1"/>
  <c r="J26" i="1"/>
  <c r="K26" i="1" s="1"/>
  <c r="K25" i="1"/>
  <c r="J25" i="1"/>
  <c r="J24" i="1"/>
  <c r="K24" i="1" s="1"/>
  <c r="K23" i="1"/>
  <c r="J23" i="1"/>
  <c r="J22" i="1"/>
  <c r="K22" i="1" s="1"/>
  <c r="K21" i="1"/>
  <c r="J21" i="1"/>
  <c r="J20" i="1"/>
  <c r="K20" i="1" s="1"/>
  <c r="K19" i="1"/>
  <c r="J19" i="1"/>
  <c r="J18" i="1"/>
  <c r="K18" i="1" s="1"/>
  <c r="K17" i="1"/>
  <c r="J17" i="1"/>
  <c r="J16" i="1"/>
  <c r="K16" i="1" s="1"/>
  <c r="K15" i="1"/>
  <c r="J15" i="1"/>
  <c r="J13" i="1"/>
  <c r="K13" i="1" s="1"/>
  <c r="J12" i="1"/>
  <c r="K12" i="1" s="1"/>
  <c r="J11" i="1"/>
  <c r="K11" i="1" s="1"/>
  <c r="J10" i="1"/>
  <c r="K10" i="1" s="1"/>
  <c r="J9" i="1"/>
  <c r="K9" i="1" s="1"/>
  <c r="J7" i="1"/>
  <c r="K7" i="1" s="1"/>
  <c r="J6" i="1"/>
  <c r="K6" i="1" s="1"/>
  <c r="J5" i="1"/>
  <c r="K5" i="1"/>
  <c r="E67" i="1" l="1"/>
  <c r="D54" i="1"/>
  <c r="E51" i="1"/>
  <c r="E50" i="1"/>
  <c r="E49" i="1"/>
  <c r="F49" i="1" s="1"/>
  <c r="E48" i="1"/>
  <c r="F48" i="1" s="1"/>
  <c r="E47" i="1"/>
  <c r="E46" i="1"/>
  <c r="E45" i="1"/>
  <c r="E44" i="1"/>
  <c r="D40" i="1"/>
  <c r="D38" i="1"/>
  <c r="D37" i="1"/>
  <c r="E38" i="1"/>
  <c r="E37" i="1"/>
  <c r="E36" i="1"/>
  <c r="F36" i="1" s="1"/>
  <c r="E35" i="1"/>
  <c r="F35" i="1" s="1"/>
  <c r="C31" i="1"/>
  <c r="E31" i="1" s="1"/>
  <c r="F31" i="1" s="1"/>
  <c r="E28" i="1"/>
  <c r="E25" i="1"/>
  <c r="E21" i="1"/>
  <c r="E20" i="1"/>
  <c r="D17" i="1"/>
  <c r="D16" i="1"/>
  <c r="E26" i="1"/>
  <c r="E24" i="1"/>
  <c r="E18" i="1"/>
  <c r="E15" i="1"/>
  <c r="E23" i="1"/>
  <c r="E22" i="1"/>
  <c r="E19" i="1"/>
  <c r="D6" i="1"/>
  <c r="F7" i="1"/>
  <c r="C41" i="1" l="1"/>
  <c r="E39" i="1"/>
  <c r="E27" i="1"/>
  <c r="E16" i="1" l="1"/>
  <c r="E6" i="1"/>
  <c r="E40" i="1"/>
  <c r="F52" i="1"/>
  <c r="F33" i="1"/>
  <c r="F55" i="1"/>
  <c r="E11" i="1"/>
  <c r="E54" i="1"/>
  <c r="E55" i="1" s="1"/>
  <c r="E52" i="1"/>
  <c r="E33" i="1"/>
  <c r="E17" i="1"/>
  <c r="E63" i="1"/>
  <c r="G63" i="1" s="1"/>
  <c r="N63" i="1" s="1"/>
  <c r="E62" i="1"/>
  <c r="E61" i="1"/>
  <c r="G61" i="1" s="1"/>
  <c r="N61" i="1" s="1"/>
  <c r="E60" i="1"/>
  <c r="F60" i="1" s="1"/>
  <c r="E12" i="1"/>
  <c r="G12" i="1" s="1"/>
  <c r="E10" i="1"/>
  <c r="G10" i="1" s="1"/>
  <c r="E9" i="1"/>
  <c r="G9" i="1" s="1"/>
  <c r="E5" i="1"/>
  <c r="E57" i="1"/>
  <c r="E41" i="1"/>
  <c r="E64" i="1"/>
  <c r="G64" i="1" s="1"/>
  <c r="N64" i="1" s="1"/>
  <c r="E65" i="1"/>
  <c r="G65" i="1" s="1"/>
  <c r="N65" i="1" s="1"/>
  <c r="E66" i="1"/>
  <c r="G67" i="1"/>
  <c r="N67" i="1" s="1"/>
  <c r="E68" i="1"/>
  <c r="G68" i="1" s="1"/>
  <c r="N68" i="1" s="1"/>
  <c r="G60" i="1" l="1"/>
  <c r="N60" i="1" s="1"/>
  <c r="E42" i="1"/>
  <c r="F40" i="1"/>
  <c r="F42" i="1" s="1"/>
  <c r="E58" i="1"/>
  <c r="G58" i="1" s="1"/>
  <c r="N58" i="1" s="1"/>
  <c r="O58" i="1" s="1"/>
  <c r="F57" i="1"/>
  <c r="F58" i="1" s="1"/>
  <c r="G55" i="1"/>
  <c r="N55" i="1" s="1"/>
  <c r="O55" i="1" s="1"/>
  <c r="F11" i="1"/>
  <c r="F13" i="1" s="1"/>
  <c r="G62" i="1"/>
  <c r="N62" i="1" s="1"/>
  <c r="F69" i="1"/>
  <c r="G52" i="1"/>
  <c r="N52" i="1" s="1"/>
  <c r="O52" i="1" s="1"/>
  <c r="G54" i="1"/>
  <c r="G33" i="1"/>
  <c r="N33" i="1" s="1"/>
  <c r="O33" i="1" s="1"/>
  <c r="E69" i="1"/>
  <c r="E7" i="1"/>
  <c r="G7" i="1" s="1"/>
  <c r="N7" i="1" s="1"/>
  <c r="O7" i="1" s="1"/>
  <c r="E29" i="1"/>
  <c r="G29" i="1" s="1"/>
  <c r="N29" i="1" s="1"/>
  <c r="O29" i="1" s="1"/>
  <c r="G5" i="1"/>
  <c r="N5" i="1" s="1"/>
  <c r="O5" i="1" s="1"/>
  <c r="G66" i="1"/>
  <c r="N66" i="1" s="1"/>
  <c r="E13" i="1"/>
  <c r="G6" i="1"/>
  <c r="G13" i="1" l="1"/>
  <c r="N13" i="1" s="1"/>
  <c r="O13" i="1" s="1"/>
  <c r="G42" i="1"/>
  <c r="N42" i="1" s="1"/>
  <c r="O42" i="1" s="1"/>
  <c r="G57" i="1"/>
  <c r="G11" i="1"/>
  <c r="F70" i="1"/>
  <c r="G69" i="1"/>
  <c r="N69" i="1" s="1"/>
  <c r="O69" i="1" s="1"/>
  <c r="E70" i="1"/>
  <c r="F72" i="1" l="1"/>
  <c r="G70" i="1"/>
  <c r="G71" i="1" l="1"/>
  <c r="N71" i="1" s="1"/>
  <c r="O71" i="1" s="1"/>
  <c r="N70" i="1"/>
  <c r="O70" i="1" s="1"/>
  <c r="G72" i="1"/>
</calcChain>
</file>

<file path=xl/sharedStrings.xml><?xml version="1.0" encoding="utf-8"?>
<sst xmlns="http://schemas.openxmlformats.org/spreadsheetml/2006/main" count="236" uniqueCount="211">
  <si>
    <t>PARTICULARS</t>
  </si>
  <si>
    <t>AMOUNT</t>
  </si>
  <si>
    <t>Grant from Asha (INR)</t>
  </si>
  <si>
    <t>RECURRING EXPENSES</t>
  </si>
  <si>
    <t>Food expenses &amp; Nutritional support</t>
  </si>
  <si>
    <t>Medicine at care Home</t>
  </si>
  <si>
    <t>Total</t>
  </si>
  <si>
    <t>C1</t>
  </si>
  <si>
    <t>Electricity charges</t>
  </si>
  <si>
    <t>Water charges</t>
  </si>
  <si>
    <t>E 1</t>
  </si>
  <si>
    <t>E 2</t>
  </si>
  <si>
    <t>F</t>
  </si>
  <si>
    <t>General - Hygiene care expenses.</t>
  </si>
  <si>
    <t>F 1</t>
  </si>
  <si>
    <t>F 2</t>
  </si>
  <si>
    <t>F 3</t>
  </si>
  <si>
    <t>F 4</t>
  </si>
  <si>
    <t>F 5</t>
  </si>
  <si>
    <t>F 6</t>
  </si>
  <si>
    <t>Washing soap @ Rs.38/student/month</t>
  </si>
  <si>
    <t>F 7</t>
  </si>
  <si>
    <t>G</t>
  </si>
  <si>
    <t>One part time Doctor</t>
  </si>
  <si>
    <t>Social Worker full time</t>
  </si>
  <si>
    <t>Teachers</t>
  </si>
  <si>
    <t>Cook</t>
  </si>
  <si>
    <t>Accountant (part time)</t>
  </si>
  <si>
    <t>Grand Total</t>
  </si>
  <si>
    <t>Contribution %</t>
  </si>
  <si>
    <t>Expenses / month</t>
  </si>
  <si>
    <t>Expenses / year</t>
  </si>
  <si>
    <t>ART Access for the HIV kids</t>
  </si>
  <si>
    <t>I</t>
  </si>
  <si>
    <t>Kids extended family/ family monthly visits</t>
  </si>
  <si>
    <t>drawing sheets - 10 sheets /child/ month @ 0. 75 paisa /sheet</t>
  </si>
  <si>
    <t>No</t>
  </si>
  <si>
    <t>4500 x 1 x 11</t>
  </si>
  <si>
    <t>General building maintenance, Electrical appliances, motor, fan, water tapes repairs, painting black boards  etc</t>
  </si>
  <si>
    <t>C4</t>
  </si>
  <si>
    <t>Stationaries for administration, Photocopying, Prining expenses</t>
  </si>
  <si>
    <t xml:space="preserve">A package of Color pens/pencils /water colors @ Rs.75/year /student </t>
  </si>
  <si>
    <t>H</t>
  </si>
  <si>
    <t>I 1</t>
  </si>
  <si>
    <t>I 2</t>
  </si>
  <si>
    <t>I 3</t>
  </si>
  <si>
    <t>I 4</t>
  </si>
  <si>
    <t>I 5</t>
  </si>
  <si>
    <t>I 6</t>
  </si>
  <si>
    <t>I 7</t>
  </si>
  <si>
    <t>I 8</t>
  </si>
  <si>
    <t>I 9</t>
  </si>
  <si>
    <t>Contribution from HUT, other sources,community and sponsors (INR)</t>
  </si>
  <si>
    <t>Helpers/Janitors</t>
  </si>
  <si>
    <t>A</t>
  </si>
  <si>
    <t>B</t>
  </si>
  <si>
    <t>C</t>
  </si>
  <si>
    <t>D</t>
  </si>
  <si>
    <t>E</t>
  </si>
  <si>
    <t>Hair oil @ 252/month</t>
  </si>
  <si>
    <t>Rs.252/ month</t>
  </si>
  <si>
    <t>Nurses  part time</t>
  </si>
  <si>
    <t>4750 x 1 x 11</t>
  </si>
  <si>
    <t>As per details enclosed</t>
  </si>
  <si>
    <t>pen</t>
  </si>
  <si>
    <t>Erasers   - one/2 months /child @Rs5/eraser</t>
  </si>
  <si>
    <t>A 4 sheets</t>
  </si>
  <si>
    <t>Scale</t>
  </si>
  <si>
    <t>Geometry box</t>
  </si>
  <si>
    <t>Broad band Connection (Rs 2500 per month) @ 8 GB usage per month</t>
  </si>
  <si>
    <t>GAMES MATERIALS FOR THE CHILDREN</t>
  </si>
  <si>
    <t>Cricket bat and accessories, ring ball, net etc.,</t>
  </si>
  <si>
    <t>Infection control measures</t>
  </si>
  <si>
    <t>Phenol</t>
  </si>
  <si>
    <t>1.5 litres per day</t>
  </si>
  <si>
    <t>Acid</t>
  </si>
  <si>
    <t>2 litres per week</t>
  </si>
  <si>
    <t>Harpic</t>
  </si>
  <si>
    <t>3 lires per week</t>
  </si>
  <si>
    <t>Cleaning brush</t>
  </si>
  <si>
    <t>10 brushes *3 per year</t>
  </si>
  <si>
    <t>Bleaching powder</t>
  </si>
  <si>
    <t>10 kg per week</t>
  </si>
  <si>
    <t>Cleaning mop</t>
  </si>
  <si>
    <t>20 *6 per year</t>
  </si>
  <si>
    <t>Broomstick</t>
  </si>
  <si>
    <t>F 8</t>
  </si>
  <si>
    <t>Roof broom stick</t>
  </si>
  <si>
    <t>10 *6 per year</t>
  </si>
  <si>
    <t>G1</t>
  </si>
  <si>
    <t>Travel charges for students</t>
  </si>
  <si>
    <t>Travel to house - a separate sheet explaining the location and bus fare is attached</t>
  </si>
  <si>
    <t>Head master cum warden</t>
  </si>
  <si>
    <t>3500x1x11</t>
  </si>
  <si>
    <t>A 2</t>
  </si>
  <si>
    <t>B1</t>
  </si>
  <si>
    <t xml:space="preserve">B 2 </t>
  </si>
  <si>
    <t>B 3</t>
  </si>
  <si>
    <t>B4</t>
  </si>
  <si>
    <t>C2</t>
  </si>
  <si>
    <t>C5</t>
  </si>
  <si>
    <t>C6</t>
  </si>
  <si>
    <t>C7</t>
  </si>
  <si>
    <t>C8</t>
  </si>
  <si>
    <t>C9</t>
  </si>
  <si>
    <t>C10</t>
  </si>
  <si>
    <t>C12</t>
  </si>
  <si>
    <t>D 1</t>
  </si>
  <si>
    <t>D 2</t>
  </si>
  <si>
    <t>A 1</t>
  </si>
  <si>
    <t>CARE AT HOME</t>
  </si>
  <si>
    <t>MAINTENANCE</t>
  </si>
  <si>
    <t>EDUCATIONAL NEEDS</t>
  </si>
  <si>
    <t>C3</t>
  </si>
  <si>
    <t>C11</t>
  </si>
  <si>
    <t>C13</t>
  </si>
  <si>
    <t>C14</t>
  </si>
  <si>
    <t>E 3</t>
  </si>
  <si>
    <t>E 4</t>
  </si>
  <si>
    <t>E 5</t>
  </si>
  <si>
    <t>E 6</t>
  </si>
  <si>
    <t>E 7</t>
  </si>
  <si>
    <t xml:space="preserve"> Salary</t>
  </si>
  <si>
    <t>Rs.2350*12</t>
  </si>
  <si>
    <t>Hair cut @ Rs 40 per student/once every 3 months/65 boys</t>
  </si>
  <si>
    <t>Budget item no</t>
  </si>
  <si>
    <t>Analysis</t>
  </si>
  <si>
    <t>A1</t>
  </si>
  <si>
    <t>B 1</t>
  </si>
  <si>
    <t>B 2</t>
  </si>
  <si>
    <t xml:space="preserve">As we have adequate resources with the hospital this year we plan to have most of the medical expenses to be met out from the hospital expenses </t>
  </si>
  <si>
    <t>The electricity cost will include all electrical appliances for the school and the hostel. As we are currently in the new building children have two good blocks and more electrical appliances for use. We have added some fans for the smaller kids in their classes too.AND the electricity costs in Tamilnadu have skyrocketted.</t>
  </si>
  <si>
    <t>Calculated on the basis of average costs last year</t>
  </si>
  <si>
    <t>We are currenlty using more stationaries for the records, photocopying study materials for the children and hence these costs are shown up</t>
  </si>
  <si>
    <t>We have worked out the requirements for an year based on our previous years expenditure</t>
  </si>
  <si>
    <t>Self explanatory</t>
  </si>
  <si>
    <t>HUT will meet the cost of the part time doctor, staff nurse and the counselor from its resources. These staff will make periodic check ups and counselling. Also the medical team will attend to  emergencies arising for the kids due to any illness.</t>
  </si>
  <si>
    <t xml:space="preserve">B3 </t>
  </si>
  <si>
    <t>C1-C14</t>
  </si>
  <si>
    <t>F,G &amp;H</t>
  </si>
  <si>
    <t>CONTINUATION BUDGET FOR ASHA_HUT SCHOOL FOR 105 CHILDREN - (academic year) 2014-15</t>
  </si>
  <si>
    <t>Rs. 57 x 102 heads x 12 months</t>
  </si>
  <si>
    <t>Rs 4912 X 12 months</t>
  </si>
  <si>
    <t>Rs. 2412 x 12</t>
  </si>
  <si>
    <t>Rs.4250 x 12 months</t>
  </si>
  <si>
    <t>Rs 1120 x 12 months</t>
  </si>
  <si>
    <t>Rs.305*102</t>
  </si>
  <si>
    <t xml:space="preserve">Rs.5*102 / once in 2 months </t>
  </si>
  <si>
    <t>Rs .6x20x4x102</t>
  </si>
  <si>
    <t>Rs.75*102</t>
  </si>
  <si>
    <t>Rs.0.75*10*102*12</t>
  </si>
  <si>
    <t>school bag and pencil box @ Rs. 305</t>
  </si>
  <si>
    <t>pencil for students  -2pencil /child for a month @ Rs. 4.5/pencil</t>
  </si>
  <si>
    <t>Rs.4.5*2* 102</t>
  </si>
  <si>
    <t>Rs 6*2*61</t>
  </si>
  <si>
    <t>Rs 175*1 per month</t>
  </si>
  <si>
    <t>Rs 12 x 62x2 per year</t>
  </si>
  <si>
    <t>Rs 82*52 per year</t>
  </si>
  <si>
    <t>Exam papers = 20 sheets/ student  (4 sheets/student /subject * 5 subjects) @ Rs. 0.60/sheet x 4 exams</t>
  </si>
  <si>
    <t>a package of  craft papers, scissors, gum etc for craft work @ Rs 132/year</t>
  </si>
  <si>
    <t>Rs 132*102</t>
  </si>
  <si>
    <t>Rs.12.70*18*102 students</t>
  </si>
  <si>
    <t xml:space="preserve">Note books - 15 note books/child (on an average)@ Rs.12.70/note  </t>
  </si>
  <si>
    <t>Chalk piece (Rs 355 per month)</t>
  </si>
  <si>
    <t>Rs 355 x 12 months</t>
  </si>
  <si>
    <t>Balls 40@ Rs. 27 each</t>
  </si>
  <si>
    <t>Tooth brush@ Rs .22/once in six months *102</t>
  </si>
  <si>
    <t>chappals @90 once every six months *102</t>
  </si>
  <si>
    <t>Paste @ Rs. 24/month*102</t>
  </si>
  <si>
    <t>Soap @ Rs.17/month *102</t>
  </si>
  <si>
    <t>2*22*102 children</t>
  </si>
  <si>
    <t>2*90* 102 children</t>
  </si>
  <si>
    <t>24* 102 children*12</t>
  </si>
  <si>
    <t>17* 102 children*12</t>
  </si>
  <si>
    <t>38*102 children</t>
  </si>
  <si>
    <t>Rs 25*24*41 kids</t>
  </si>
  <si>
    <t>9500 x11</t>
  </si>
  <si>
    <t>4500 x1 x11</t>
  </si>
  <si>
    <t>4300 x 3 x 11</t>
  </si>
  <si>
    <t xml:space="preserve">Manager/Counsellor </t>
  </si>
  <si>
    <t>BUDGET FOR ASHA_HUT SCHOOL FOR 105 CHILDREN - (academic year) 2015-16</t>
  </si>
  <si>
    <t xml:space="preserve">Food will include six servings of cereals, pulses and milk in a planned nutritional way. High protein diet is mandatory for the HIV infected children.THis year HUt is bearing the maximum cost of the food upto 22 lakh INR as we have been very successful in mobilising in kind donations for the school from the community, individual donors and other sponsors which contribute to the large sum from other sources  </t>
  </si>
  <si>
    <t>Maintenance have been supported by a volunteers from france. So thi has been excluded from the request</t>
  </si>
  <si>
    <t>H1</t>
  </si>
  <si>
    <t>8700 x 1 x 11</t>
  </si>
  <si>
    <t>3000 x 2 x 11</t>
  </si>
  <si>
    <t>Grant from Asha (INR) 
Same 105 Children</t>
  </si>
  <si>
    <t xml:space="preserve"> 2015-16 Inc/(dec) vs 2014-15 in INR</t>
  </si>
  <si>
    <t xml:space="preserve"> 2015-16 vs 2014-15 as % Change</t>
  </si>
  <si>
    <t>Total Expenses (INR) 
Same 105 Children</t>
  </si>
  <si>
    <t>Memo: 2014-15 Total HUT Expenses</t>
  </si>
  <si>
    <t>Memo: 2014-15 ASHA Contribution</t>
  </si>
  <si>
    <t>Dec</t>
  </si>
  <si>
    <t>Nov</t>
  </si>
  <si>
    <t>May</t>
  </si>
  <si>
    <t>Sep</t>
  </si>
  <si>
    <t>Jul</t>
  </si>
  <si>
    <t>Aug</t>
  </si>
  <si>
    <t>Apr</t>
  </si>
  <si>
    <t>Jun</t>
  </si>
  <si>
    <t>Year</t>
  </si>
  <si>
    <t>Amount</t>
  </si>
  <si>
    <t>Row Labels</t>
  </si>
  <si>
    <t>Sum of Amount</t>
  </si>
  <si>
    <t>Support Building Construction</t>
  </si>
  <si>
    <t>Disbursement related to 2010</t>
  </si>
  <si>
    <t>2011 Disbursement</t>
  </si>
  <si>
    <t>2012 Disbursement</t>
  </si>
  <si>
    <t>2013 Disbursement</t>
  </si>
  <si>
    <t>2014 Disbursement</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</si>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</sst>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71" formatCode="_(&quot;$&quot;* #,##0_);_(&quot;$&quot;* \(#,##0\);_(&quot;$&quot;* &quot;-&quot;??_);_(@_)"/>
  </numFmts>
  <fonts count="16" x14ac:knownFonts="1">
    <font>
      <sz val="10"/>
      <name val="Arial"/>
      <family val="2"/>
    </font>
    <font>
      <sz val="10"/>
      <name val="Arial"/>
      <family val="2"/>
    </font>
    <font>
      <b/>
      <sz val="10"/>
      <name val="Calibri"/>
      <family val="2"/>
    </font>
    <font>
      <sz val="10"/>
      <name val="Calibri"/>
      <family val="2"/>
    </font>
    <font>
      <sz val="10"/>
      <color theme="1" tint="0.249977111117893"/>
      <name val="Calibri"/>
      <family val="2"/>
    </font>
    <font>
      <b/>
      <sz val="10"/>
      <color theme="1" tint="0.249977111117893"/>
      <name val="Calibri"/>
      <family val="2"/>
    </font>
    <font>
      <b/>
      <sz val="10"/>
      <color theme="0"/>
      <name val="Calibri"/>
      <family val="2"/>
    </font>
    <font>
      <sz val="10"/>
      <color theme="0"/>
      <name val="Calibri"/>
      <family val="2"/>
    </font>
    <font>
      <b/>
      <sz val="10"/>
      <color rgb="FFFF0000"/>
      <name val="Calibri"/>
      <family val="2"/>
    </font>
    <font>
      <b/>
      <sz val="11"/>
      <color rgb="FFFF0000"/>
      <name val="Corbel"/>
      <family val="2"/>
    </font>
    <font>
      <sz val="10"/>
      <color theme="1" tint="0.249977111117893"/>
      <name val="Corbel"/>
      <family val="2"/>
    </font>
    <font>
      <b/>
      <sz val="10"/>
      <color theme="1" tint="0.249977111117893"/>
      <name val="Corbel"/>
      <family val="2"/>
    </font>
    <font>
      <b/>
      <sz val="11"/>
      <color rgb="FFFF0000"/>
      <name val="Calibri"/>
      <family val="2"/>
    </font>
    <font>
      <b/>
      <sz val="14"/>
      <color rgb="FFFF0000"/>
      <name val="Calibri"/>
      <family val="2"/>
    </font>
    <font>
      <sz val="8"/>
      <name val="Arial"/>
      <family val="2"/>
    </font>
    <font>
      <b/>
      <u/>
      <sz val="10"/>
      <name val="Arial"/>
      <family val="2"/>
    </font>
  </fonts>
  <fills count="6">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3"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86">
    <xf numFmtId="0" fontId="0" fillId="0" borderId="0" xfId="0"/>
    <xf numFmtId="0" fontId="4" fillId="0" borderId="0" xfId="0" applyFont="1" applyFill="1" applyAlignment="1">
      <alignmen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5" fillId="0" borderId="0" xfId="0" applyFont="1" applyFill="1" applyAlignment="1">
      <alignment vertical="center" wrapText="1"/>
    </xf>
    <xf numFmtId="0" fontId="4" fillId="0" borderId="0" xfId="0" applyFont="1" applyFill="1" applyAlignment="1">
      <alignment horizontal="right" vertical="center" wrapText="1"/>
    </xf>
    <xf numFmtId="0" fontId="4" fillId="2" borderId="0" xfId="0" applyFont="1" applyFill="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4" fontId="6" fillId="3"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4" fontId="7" fillId="3" borderId="1" xfId="0" applyNumberFormat="1" applyFont="1" applyFill="1" applyBorder="1" applyAlignment="1">
      <alignment horizontal="righ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NumberFormat="1" applyFont="1" applyFill="1" applyBorder="1" applyAlignment="1">
      <alignment horizontal="right" vertical="center" wrapText="1"/>
    </xf>
    <xf numFmtId="4" fontId="3" fillId="4" borderId="1" xfId="0" applyNumberFormat="1" applyFont="1" applyFill="1" applyBorder="1" applyAlignment="1">
      <alignment horizontal="right" vertical="center" wrapText="1"/>
    </xf>
    <xf numFmtId="4" fontId="2" fillId="4" borderId="1" xfId="0" applyNumberFormat="1" applyFont="1" applyFill="1" applyBorder="1" applyAlignment="1">
      <alignment horizontal="right" vertical="center" wrapText="1"/>
    </xf>
    <xf numFmtId="0" fontId="3" fillId="4" borderId="0" xfId="0" applyFont="1" applyFill="1" applyAlignment="1">
      <alignment vertical="center" wrapText="1"/>
    </xf>
    <xf numFmtId="0" fontId="6" fillId="3" borderId="1" xfId="0" applyNumberFormat="1" applyFont="1" applyFill="1" applyBorder="1" applyAlignment="1">
      <alignment horizontal="right" vertical="center" wrapText="1"/>
    </xf>
    <xf numFmtId="0" fontId="4" fillId="0" borderId="1" xfId="0" applyFont="1" applyBorder="1" applyAlignment="1">
      <alignment horizontal="left" vertical="center" wrapText="1"/>
    </xf>
    <xf numFmtId="4" fontId="5" fillId="0" borderId="2" xfId="0" applyNumberFormat="1" applyFont="1" applyFill="1" applyBorder="1" applyAlignment="1">
      <alignment vertical="center" wrapText="1"/>
    </xf>
    <xf numFmtId="164" fontId="8" fillId="0" borderId="1" xfId="0" applyNumberFormat="1" applyFont="1" applyFill="1" applyBorder="1" applyAlignment="1">
      <alignment horizontal="right"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0" xfId="0" applyNumberFormat="1" applyFont="1" applyFill="1" applyAlignment="1">
      <alignment horizontal="right" vertical="center" wrapText="1"/>
    </xf>
    <xf numFmtId="0" fontId="10" fillId="0" borderId="0" xfId="2" applyFont="1" applyAlignment="1">
      <alignment vertical="center" wrapText="1"/>
    </xf>
    <xf numFmtId="0" fontId="11" fillId="0" borderId="1" xfId="2" applyFont="1" applyBorder="1" applyAlignment="1">
      <alignment horizontal="center" vertical="center" wrapText="1"/>
    </xf>
    <xf numFmtId="0" fontId="11" fillId="0" borderId="0" xfId="2" applyFont="1" applyAlignment="1">
      <alignment horizontal="center" vertical="center" wrapText="1"/>
    </xf>
    <xf numFmtId="0" fontId="10" fillId="0" borderId="1" xfId="2" applyFont="1" applyBorder="1" applyAlignment="1">
      <alignment vertical="center" wrapText="1"/>
    </xf>
    <xf numFmtId="0" fontId="10" fillId="0" borderId="0" xfId="2" applyFont="1" applyAlignment="1">
      <alignment horizontal="center" vertical="center" wrapText="1"/>
    </xf>
    <xf numFmtId="0" fontId="10" fillId="0" borderId="1" xfId="2" applyFont="1" applyBorder="1" applyAlignment="1">
      <alignment horizontal="center" vertical="center" wrapText="1"/>
    </xf>
    <xf numFmtId="0" fontId="12" fillId="0" borderId="1" xfId="0" applyFont="1" applyFill="1" applyBorder="1" applyAlignment="1">
      <alignment horizontal="right" vertical="center" wrapText="1"/>
    </xf>
    <xf numFmtId="4" fontId="12" fillId="0" borderId="1" xfId="0" applyNumberFormat="1" applyFont="1" applyFill="1" applyBorder="1" applyAlignment="1">
      <alignment horizontal="right" vertical="center" wrapText="1"/>
    </xf>
    <xf numFmtId="0" fontId="12" fillId="0" borderId="0" xfId="0" applyFont="1" applyFill="1" applyAlignment="1">
      <alignmen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right" vertical="center" wrapText="1"/>
    </xf>
    <xf numFmtId="4" fontId="13" fillId="0" borderId="1" xfId="0" applyNumberFormat="1" applyFont="1" applyFill="1" applyBorder="1" applyAlignment="1">
      <alignment horizontal="right" vertical="center" wrapText="1"/>
    </xf>
    <xf numFmtId="0" fontId="13" fillId="0" borderId="0" xfId="0" applyFont="1" applyFill="1" applyAlignment="1">
      <alignment vertical="center" wrapText="1"/>
    </xf>
    <xf numFmtId="0" fontId="5" fillId="0" borderId="1" xfId="0" applyFont="1" applyFill="1" applyBorder="1" applyAlignment="1">
      <alignment horizontal="left" vertical="center" wrapText="1"/>
    </xf>
    <xf numFmtId="0" fontId="10" fillId="0" borderId="1" xfId="2" applyFont="1" applyBorder="1" applyAlignment="1">
      <alignment vertical="center" wrapText="1"/>
    </xf>
    <xf numFmtId="4" fontId="2" fillId="0"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5" xfId="2" applyFont="1" applyFill="1" applyBorder="1" applyAlignment="1">
      <alignment vertical="center" wrapText="1"/>
    </xf>
    <xf numFmtId="0" fontId="10" fillId="0" borderId="1" xfId="2" applyFont="1" applyBorder="1" applyAlignment="1">
      <alignment horizontal="center" vertical="center" wrapText="1"/>
    </xf>
    <xf numFmtId="0" fontId="10" fillId="0" borderId="1" xfId="2" applyFont="1" applyBorder="1" applyAlignment="1">
      <alignment vertical="center" wrapText="1"/>
    </xf>
    <xf numFmtId="10" fontId="5" fillId="0" borderId="1" xfId="3" applyNumberFormat="1" applyFont="1" applyFill="1" applyBorder="1" applyAlignment="1">
      <alignment horizontal="right" vertical="center" wrapText="1"/>
    </xf>
    <xf numFmtId="10" fontId="4" fillId="0" borderId="0" xfId="3" applyNumberFormat="1" applyFont="1" applyFill="1" applyAlignment="1">
      <alignment vertical="center" wrapText="1"/>
    </xf>
    <xf numFmtId="10" fontId="4" fillId="0" borderId="1" xfId="3" applyNumberFormat="1" applyFont="1" applyFill="1" applyBorder="1" applyAlignment="1">
      <alignment horizontal="right" vertical="center" wrapText="1"/>
    </xf>
    <xf numFmtId="10" fontId="2" fillId="4" borderId="1" xfId="3" applyNumberFormat="1" applyFont="1" applyFill="1" applyBorder="1" applyAlignment="1">
      <alignment horizontal="right" vertical="center" wrapText="1"/>
    </xf>
    <xf numFmtId="10" fontId="5" fillId="0" borderId="0" xfId="3" applyNumberFormat="1" applyFont="1" applyFill="1" applyAlignment="1">
      <alignment vertical="center" wrapText="1"/>
    </xf>
    <xf numFmtId="10" fontId="12" fillId="0" borderId="1" xfId="3" applyNumberFormat="1" applyFont="1" applyFill="1" applyBorder="1" applyAlignment="1">
      <alignment horizontal="right" vertical="center" wrapText="1"/>
    </xf>
    <xf numFmtId="10" fontId="8" fillId="0" borderId="1" xfId="3" applyNumberFormat="1" applyFont="1" applyFill="1" applyBorder="1" applyAlignment="1">
      <alignment horizontal="right"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4" fontId="6" fillId="5" borderId="1" xfId="0" applyNumberFormat="1" applyFont="1" applyFill="1" applyBorder="1" applyAlignment="1">
      <alignment horizontal="right" vertical="center" wrapText="1"/>
    </xf>
    <xf numFmtId="10" fontId="6" fillId="5" borderId="1" xfId="3" applyNumberFormat="1" applyFont="1" applyFill="1" applyBorder="1" applyAlignment="1">
      <alignment horizontal="right" vertical="center" wrapText="1"/>
    </xf>
    <xf numFmtId="0" fontId="14" fillId="0" borderId="0" xfId="0" applyFont="1" applyAlignment="1">
      <alignment vertical="center" wrapText="1"/>
    </xf>
    <xf numFmtId="8" fontId="14" fillId="0" borderId="0" xfId="0" applyNumberFormat="1" applyFont="1" applyAlignment="1">
      <alignment horizontal="right" vertical="center" wrapText="1"/>
    </xf>
    <xf numFmtId="0" fontId="0" fillId="0" borderId="0" xfId="0" pivotButton="1"/>
    <xf numFmtId="0" fontId="0" fillId="0" borderId="0" xfId="0" applyAlignment="1">
      <alignment horizontal="left"/>
    </xf>
    <xf numFmtId="171" fontId="0" fillId="0" borderId="0" xfId="0" applyNumberFormat="1"/>
    <xf numFmtId="0" fontId="15" fillId="0" borderId="0" xfId="0" applyFont="1"/>
  </cellXfs>
  <cellStyles count="4">
    <cellStyle name="Normal" xfId="0" builtinId="0"/>
    <cellStyle name="Normal 2" xfId="1"/>
    <cellStyle name="Normal_Budget extension analysis 1" xfId="2"/>
    <cellStyle name="Percent" xfId="3" builtinId="5"/>
  </cellStyles>
  <dxfs count="5">
    <dxf>
      <numFmt numFmtId="170" formatCode="_(&quot;$&quot;* #,##0.0_);_(&quot;$&quot;* \(#,##0.0\);_(&quot;$&quot;* &quot;-&quot;??_);_(@_)"/>
    </dxf>
    <dxf>
      <numFmt numFmtId="171" formatCode="_(&quot;$&quot;* #,##0_);_(&quot;$&quot;* \(#,##0\);_(&quot;$&quot;* &quot;-&quot;??_);_(@_)"/>
    </dxf>
    <dxf>
      <numFmt numFmtId="170" formatCode="_(&quot;$&quot;* #,##0.0_);_(&quot;$&quot;* \(#,##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hesh Damodaran" refreshedDate="42665.934953124997" createdVersion="5" refreshedVersion="5" minRefreshableVersion="3" recordCount="14">
  <cacheSource type="worksheet">
    <worksheetSource ref="G22:H36" sheet="ASHA Disbursement History"/>
  </cacheSource>
  <cacheFields count="2">
    <cacheField name="Year" numFmtId="0">
      <sharedItems containsSemiMixedTypes="0" containsString="0" containsNumber="1" containsInteger="1" minValue="2007" maxValue="2015" count="9">
        <n v="2015"/>
        <n v="2014"/>
        <n v="2013"/>
        <n v="2012"/>
        <n v="2011"/>
        <n v="2010"/>
        <n v="2009"/>
        <n v="2008"/>
        <n v="2007"/>
      </sharedItems>
    </cacheField>
    <cacheField name="Amount" numFmtId="8">
      <sharedItems containsSemiMixedTypes="0" containsString="0" containsNumber="1" containsInteger="1" minValue="5000" maxValue="134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x v="0"/>
    <n v="13460"/>
  </r>
  <r>
    <x v="1"/>
    <n v="13337"/>
  </r>
  <r>
    <x v="2"/>
    <n v="11633"/>
  </r>
  <r>
    <x v="3"/>
    <n v="12300"/>
  </r>
  <r>
    <x v="4"/>
    <n v="6825"/>
  </r>
  <r>
    <x v="5"/>
    <n v="6500"/>
  </r>
  <r>
    <x v="6"/>
    <n v="6550"/>
  </r>
  <r>
    <x v="6"/>
    <n v="7000"/>
  </r>
  <r>
    <x v="7"/>
    <n v="8232"/>
  </r>
  <r>
    <x v="7"/>
    <n v="10000"/>
  </r>
  <r>
    <x v="7"/>
    <n v="10903"/>
  </r>
  <r>
    <x v="7"/>
    <n v="7000"/>
  </r>
  <r>
    <x v="8"/>
    <n v="5000"/>
  </r>
  <r>
    <x v="8"/>
    <n v="9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3" firstHeaderRow="1" firstDataRow="1" firstDataCol="1"/>
  <pivotFields count="2">
    <pivotField axis="axisRow" showAll="0" defaultSubtotal="0">
      <items count="9">
        <item x="8"/>
        <item x="7"/>
        <item x="6"/>
        <item x="5"/>
        <item x="4"/>
        <item x="3"/>
        <item x="2"/>
        <item x="1"/>
        <item x="0"/>
      </items>
    </pivotField>
    <pivotField dataField="1" numFmtId="8" showAll="0" defaultSubtotal="0"/>
  </pivotFields>
  <rowFields count="1">
    <field x="0"/>
  </rowFields>
  <rowItems count="10">
    <i>
      <x/>
    </i>
    <i>
      <x v="1"/>
    </i>
    <i>
      <x v="2"/>
    </i>
    <i>
      <x v="3"/>
    </i>
    <i>
      <x v="4"/>
    </i>
    <i>
      <x v="5"/>
    </i>
    <i>
      <x v="6"/>
    </i>
    <i>
      <x v="7"/>
    </i>
    <i>
      <x v="8"/>
    </i>
    <i t="grand">
      <x/>
    </i>
  </rowItems>
  <colItems count="1">
    <i/>
  </colItems>
  <dataFields count="1">
    <dataField name="Sum of Amount" fld="1" baseField="0" baseItem="0" numFmtId="171"/>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abSelected="1" zoomScale="115" zoomScaleNormal="115" workbookViewId="0">
      <pane ySplit="2" topLeftCell="A3" activePane="bottomLeft" state="frozen"/>
      <selection pane="bottomLeft" activeCell="M70" sqref="M70"/>
    </sheetView>
  </sheetViews>
  <sheetFormatPr defaultRowHeight="12.75" x14ac:dyDescent="0.2"/>
  <cols>
    <col min="1" max="1" width="4" style="30" bestFit="1" customWidth="1"/>
    <col min="2" max="2" width="38.140625" style="31" bestFit="1" customWidth="1"/>
    <col min="3" max="3" width="19.5703125" style="31" bestFit="1" customWidth="1"/>
    <col min="4" max="4" width="9.42578125" style="12" bestFit="1" customWidth="1"/>
    <col min="5" max="5" width="13.42578125" style="32" bestFit="1" customWidth="1"/>
    <col min="6" max="6" width="16.28515625" style="32" bestFit="1" customWidth="1"/>
    <col min="7" max="7" width="14" style="32" bestFit="1" customWidth="1"/>
    <col min="8" max="8" width="11.42578125" style="1" bestFit="1" customWidth="1"/>
    <col min="9" max="11" width="14" style="32" bestFit="1" customWidth="1"/>
    <col min="12" max="12" width="11.42578125" style="1" bestFit="1" customWidth="1"/>
    <col min="13" max="15" width="14" style="32" bestFit="1" customWidth="1"/>
    <col min="16" max="16384" width="9.140625" style="1"/>
  </cols>
  <sheetData>
    <row r="1" spans="1:15" ht="12.75" customHeight="1" x14ac:dyDescent="0.2">
      <c r="A1" s="62" t="s">
        <v>180</v>
      </c>
      <c r="B1" s="63"/>
      <c r="C1" s="63"/>
      <c r="D1" s="63"/>
      <c r="E1" s="63"/>
      <c r="F1" s="63"/>
      <c r="G1" s="64"/>
      <c r="I1" s="76" t="s">
        <v>190</v>
      </c>
      <c r="J1" s="77"/>
      <c r="K1" s="77"/>
      <c r="M1" s="76" t="s">
        <v>191</v>
      </c>
      <c r="N1" s="77"/>
      <c r="O1" s="77"/>
    </row>
    <row r="2" spans="1:15" ht="51" x14ac:dyDescent="0.2">
      <c r="A2" s="46" t="s">
        <v>36</v>
      </c>
      <c r="B2" s="2" t="s">
        <v>0</v>
      </c>
      <c r="C2" s="46" t="s">
        <v>1</v>
      </c>
      <c r="D2" s="3" t="s">
        <v>30</v>
      </c>
      <c r="E2" s="4" t="s">
        <v>31</v>
      </c>
      <c r="F2" s="4" t="s">
        <v>52</v>
      </c>
      <c r="G2" s="4" t="s">
        <v>2</v>
      </c>
      <c r="I2" s="4" t="s">
        <v>189</v>
      </c>
      <c r="J2" s="4" t="s">
        <v>187</v>
      </c>
      <c r="K2" s="4" t="s">
        <v>188</v>
      </c>
      <c r="M2" s="4" t="s">
        <v>186</v>
      </c>
      <c r="N2" s="4" t="s">
        <v>187</v>
      </c>
      <c r="O2" s="4" t="s">
        <v>188</v>
      </c>
    </row>
    <row r="3" spans="1:15" ht="12.75" customHeight="1" x14ac:dyDescent="0.2">
      <c r="A3" s="62" t="s">
        <v>3</v>
      </c>
      <c r="B3" s="63"/>
      <c r="C3" s="63"/>
      <c r="D3" s="63"/>
      <c r="E3" s="63"/>
      <c r="F3" s="63"/>
      <c r="G3" s="64"/>
      <c r="I3" s="1"/>
      <c r="J3" s="1"/>
      <c r="K3" s="1"/>
      <c r="M3" s="1"/>
      <c r="N3" s="1"/>
      <c r="O3" s="1"/>
    </row>
    <row r="4" spans="1:15" ht="12.75" customHeight="1" x14ac:dyDescent="0.2">
      <c r="A4" s="56" t="s">
        <v>110</v>
      </c>
      <c r="B4" s="57"/>
      <c r="C4" s="57"/>
      <c r="D4" s="57"/>
      <c r="E4" s="57"/>
      <c r="F4" s="57"/>
      <c r="G4" s="58"/>
      <c r="I4" s="1"/>
      <c r="J4" s="1"/>
      <c r="K4" s="1"/>
      <c r="M4" s="1"/>
      <c r="N4" s="1"/>
      <c r="O4" s="1"/>
    </row>
    <row r="5" spans="1:15" x14ac:dyDescent="0.2">
      <c r="A5" s="46" t="s">
        <v>109</v>
      </c>
      <c r="B5" s="5" t="s">
        <v>4</v>
      </c>
      <c r="C5" s="5" t="s">
        <v>63</v>
      </c>
      <c r="D5" s="6">
        <v>218262</v>
      </c>
      <c r="E5" s="7">
        <f>D5*12</f>
        <v>2619144</v>
      </c>
      <c r="F5" s="7">
        <v>2225000</v>
      </c>
      <c r="G5" s="4">
        <f>E5-F5</f>
        <v>394144</v>
      </c>
      <c r="I5" s="4">
        <v>2197164</v>
      </c>
      <c r="J5" s="4">
        <f>E5-I5</f>
        <v>421980</v>
      </c>
      <c r="K5" s="69">
        <f>J5/I5</f>
        <v>0.19205666941566493</v>
      </c>
      <c r="M5" s="4">
        <v>382164</v>
      </c>
      <c r="N5" s="4">
        <f>G5-M5</f>
        <v>11980</v>
      </c>
      <c r="O5" s="69">
        <f>N5/M5</f>
        <v>3.1347798327419643E-2</v>
      </c>
    </row>
    <row r="6" spans="1:15" ht="25.5" x14ac:dyDescent="0.2">
      <c r="A6" s="46" t="s">
        <v>94</v>
      </c>
      <c r="B6" s="5" t="s">
        <v>5</v>
      </c>
      <c r="C6" s="5" t="s">
        <v>141</v>
      </c>
      <c r="D6" s="6">
        <f>57*102</f>
        <v>5814</v>
      </c>
      <c r="E6" s="7">
        <f>D6*12</f>
        <v>69768</v>
      </c>
      <c r="F6" s="7">
        <v>69768</v>
      </c>
      <c r="G6" s="4">
        <f>E6-F6</f>
        <v>0</v>
      </c>
      <c r="I6" s="4">
        <v>65520</v>
      </c>
      <c r="J6" s="4">
        <f>E6-I6</f>
        <v>4248</v>
      </c>
      <c r="K6" s="69">
        <f>J6/I6</f>
        <v>6.4835164835164841E-2</v>
      </c>
      <c r="M6" s="4"/>
      <c r="N6" s="4"/>
      <c r="O6" s="69"/>
    </row>
    <row r="7" spans="1:15" s="11" customFormat="1" x14ac:dyDescent="0.2">
      <c r="A7" s="8"/>
      <c r="B7" s="8" t="s">
        <v>6</v>
      </c>
      <c r="C7" s="8" t="s">
        <v>54</v>
      </c>
      <c r="D7" s="9"/>
      <c r="E7" s="10">
        <f>SUM(E5:E6)</f>
        <v>2688912</v>
      </c>
      <c r="F7" s="10">
        <f>SUM(F5:F6)</f>
        <v>2294768</v>
      </c>
      <c r="G7" s="10">
        <f>E7-F7</f>
        <v>394144</v>
      </c>
      <c r="I7" s="78">
        <v>2262684</v>
      </c>
      <c r="J7" s="78">
        <f>E7-I7</f>
        <v>426228</v>
      </c>
      <c r="K7" s="79">
        <f>J7/I7</f>
        <v>0.18837274670258861</v>
      </c>
      <c r="M7" s="78">
        <v>382164</v>
      </c>
      <c r="N7" s="78">
        <f>G7-M7</f>
        <v>11980</v>
      </c>
      <c r="O7" s="79">
        <f t="shared" ref="O7" si="0">N7/M7</f>
        <v>3.1347798327419643E-2</v>
      </c>
    </row>
    <row r="8" spans="1:15" ht="12.75" customHeight="1" x14ac:dyDescent="0.2">
      <c r="A8" s="59" t="s">
        <v>111</v>
      </c>
      <c r="B8" s="60"/>
      <c r="C8" s="60"/>
      <c r="D8" s="60"/>
      <c r="E8" s="60"/>
      <c r="F8" s="60"/>
      <c r="G8" s="61"/>
      <c r="I8" s="1"/>
      <c r="J8" s="1"/>
      <c r="K8" s="70"/>
      <c r="M8" s="1"/>
      <c r="N8" s="1"/>
      <c r="O8" s="70"/>
    </row>
    <row r="9" spans="1:15" x14ac:dyDescent="0.2">
      <c r="A9" s="46" t="s">
        <v>95</v>
      </c>
      <c r="B9" s="5" t="s">
        <v>8</v>
      </c>
      <c r="C9" s="5" t="s">
        <v>142</v>
      </c>
      <c r="D9" s="6">
        <v>4912</v>
      </c>
      <c r="E9" s="7">
        <f>D9*12</f>
        <v>58944</v>
      </c>
      <c r="F9" s="7">
        <v>40000</v>
      </c>
      <c r="G9" s="4">
        <f>E9-F9</f>
        <v>18944</v>
      </c>
      <c r="I9" s="4">
        <v>57780</v>
      </c>
      <c r="J9" s="4">
        <f t="shared" ref="J9:J13" si="1">E9-I9</f>
        <v>1164</v>
      </c>
      <c r="K9" s="69">
        <f t="shared" ref="K9:K13" si="2">J9/I9</f>
        <v>2.0145379023883695E-2</v>
      </c>
      <c r="M9" s="4">
        <v>17780</v>
      </c>
      <c r="N9" s="4"/>
      <c r="O9" s="69"/>
    </row>
    <row r="10" spans="1:15" x14ac:dyDescent="0.2">
      <c r="A10" s="46" t="s">
        <v>96</v>
      </c>
      <c r="B10" s="5" t="s">
        <v>9</v>
      </c>
      <c r="C10" s="5" t="s">
        <v>143</v>
      </c>
      <c r="D10" s="6">
        <v>2412</v>
      </c>
      <c r="E10" s="7">
        <f>D10*12</f>
        <v>28944</v>
      </c>
      <c r="F10" s="7">
        <v>16200</v>
      </c>
      <c r="G10" s="4">
        <f>E10-F10</f>
        <v>12744</v>
      </c>
      <c r="I10" s="4">
        <v>28200</v>
      </c>
      <c r="J10" s="4">
        <f t="shared" si="1"/>
        <v>744</v>
      </c>
      <c r="K10" s="69">
        <f t="shared" si="2"/>
        <v>2.6382978723404255E-2</v>
      </c>
      <c r="M10" s="4">
        <v>15000</v>
      </c>
      <c r="N10" s="4"/>
      <c r="O10" s="69"/>
    </row>
    <row r="11" spans="1:15" ht="38.25" x14ac:dyDescent="0.2">
      <c r="A11" s="46" t="s">
        <v>97</v>
      </c>
      <c r="B11" s="5" t="s">
        <v>38</v>
      </c>
      <c r="C11" s="5" t="s">
        <v>144</v>
      </c>
      <c r="D11" s="6">
        <v>4250</v>
      </c>
      <c r="E11" s="7">
        <f>D11*12</f>
        <v>51000</v>
      </c>
      <c r="F11" s="7">
        <f>E11</f>
        <v>51000</v>
      </c>
      <c r="G11" s="4">
        <f>E11-F11</f>
        <v>0</v>
      </c>
      <c r="I11" s="4">
        <v>49500</v>
      </c>
      <c r="J11" s="4">
        <f t="shared" si="1"/>
        <v>1500</v>
      </c>
      <c r="K11" s="69">
        <f t="shared" si="2"/>
        <v>3.0303030303030304E-2</v>
      </c>
      <c r="M11" s="4">
        <v>0</v>
      </c>
      <c r="N11" s="4"/>
      <c r="O11" s="69"/>
    </row>
    <row r="12" spans="1:15" ht="25.5" x14ac:dyDescent="0.2">
      <c r="A12" s="46" t="s">
        <v>98</v>
      </c>
      <c r="B12" s="5" t="s">
        <v>40</v>
      </c>
      <c r="C12" s="5" t="s">
        <v>145</v>
      </c>
      <c r="D12" s="6">
        <v>1120</v>
      </c>
      <c r="E12" s="7">
        <f>D12*12</f>
        <v>13440</v>
      </c>
      <c r="F12" s="7">
        <v>9900</v>
      </c>
      <c r="G12" s="4">
        <f>E12-F12</f>
        <v>3540</v>
      </c>
      <c r="I12" s="4">
        <v>12600</v>
      </c>
      <c r="J12" s="4">
        <f t="shared" si="1"/>
        <v>840</v>
      </c>
      <c r="K12" s="69">
        <f t="shared" si="2"/>
        <v>6.6666666666666666E-2</v>
      </c>
      <c r="M12" s="4">
        <v>2700</v>
      </c>
      <c r="N12" s="4"/>
      <c r="O12" s="69"/>
    </row>
    <row r="13" spans="1:15" x14ac:dyDescent="0.2">
      <c r="A13" s="8"/>
      <c r="B13" s="8" t="s">
        <v>6</v>
      </c>
      <c r="C13" s="8" t="s">
        <v>55</v>
      </c>
      <c r="D13" s="9"/>
      <c r="E13" s="10">
        <f>SUM(E9:E12)</f>
        <v>152328</v>
      </c>
      <c r="F13" s="10">
        <f>SUM(F9:F12)</f>
        <v>117100</v>
      </c>
      <c r="G13" s="10">
        <f>E13-F13</f>
        <v>35228</v>
      </c>
      <c r="I13" s="78">
        <v>148080</v>
      </c>
      <c r="J13" s="78">
        <f t="shared" si="1"/>
        <v>4248</v>
      </c>
      <c r="K13" s="79">
        <f t="shared" si="2"/>
        <v>2.8687196110210696E-2</v>
      </c>
      <c r="M13" s="78">
        <v>35480</v>
      </c>
      <c r="N13" s="78">
        <f>G13-M13</f>
        <v>-252</v>
      </c>
      <c r="O13" s="79">
        <f t="shared" ref="O9:O13" si="3">N13/M13</f>
        <v>-7.1025930101465615E-3</v>
      </c>
    </row>
    <row r="14" spans="1:15" ht="12.75" customHeight="1" x14ac:dyDescent="0.2">
      <c r="A14" s="56" t="s">
        <v>112</v>
      </c>
      <c r="B14" s="57"/>
      <c r="C14" s="57"/>
      <c r="D14" s="57"/>
      <c r="E14" s="57"/>
      <c r="F14" s="57"/>
      <c r="G14" s="58"/>
      <c r="I14" s="1"/>
      <c r="J14" s="1"/>
      <c r="K14" s="70"/>
      <c r="M14" s="1"/>
      <c r="N14" s="1"/>
      <c r="O14" s="70"/>
    </row>
    <row r="15" spans="1:15" x14ac:dyDescent="0.2">
      <c r="A15" s="46" t="s">
        <v>7</v>
      </c>
      <c r="B15" s="5" t="s">
        <v>151</v>
      </c>
      <c r="C15" s="5" t="s">
        <v>146</v>
      </c>
      <c r="D15" s="6"/>
      <c r="E15" s="7">
        <f>305*102</f>
        <v>31110</v>
      </c>
      <c r="F15" s="7">
        <v>15600</v>
      </c>
      <c r="G15" s="4"/>
      <c r="I15" s="4">
        <v>32025</v>
      </c>
      <c r="J15" s="4">
        <f t="shared" ref="J15:J29" si="4">E15-I15</f>
        <v>-915</v>
      </c>
      <c r="K15" s="69">
        <f t="shared" ref="K15:K29" si="5">J15/I15</f>
        <v>-2.8571428571428571E-2</v>
      </c>
      <c r="M15" s="4"/>
      <c r="N15" s="4"/>
      <c r="O15" s="69"/>
    </row>
    <row r="16" spans="1:15" ht="25.5" x14ac:dyDescent="0.2">
      <c r="A16" s="46" t="s">
        <v>99</v>
      </c>
      <c r="B16" s="5" t="s">
        <v>152</v>
      </c>
      <c r="C16" s="5" t="s">
        <v>153</v>
      </c>
      <c r="D16" s="6">
        <f>4.5*2*105</f>
        <v>945</v>
      </c>
      <c r="E16" s="7">
        <f>D16*12</f>
        <v>11340</v>
      </c>
      <c r="F16" s="7"/>
      <c r="G16" s="4"/>
      <c r="I16" s="4">
        <v>8820</v>
      </c>
      <c r="J16" s="4">
        <f t="shared" si="4"/>
        <v>2520</v>
      </c>
      <c r="K16" s="69">
        <f t="shared" si="5"/>
        <v>0.2857142857142857</v>
      </c>
      <c r="M16" s="4"/>
      <c r="N16" s="4"/>
      <c r="O16" s="69"/>
    </row>
    <row r="17" spans="1:15" x14ac:dyDescent="0.2">
      <c r="A17" s="46" t="s">
        <v>113</v>
      </c>
      <c r="B17" s="5" t="s">
        <v>64</v>
      </c>
      <c r="C17" s="5" t="s">
        <v>154</v>
      </c>
      <c r="D17" s="6">
        <f>6*2*61</f>
        <v>732</v>
      </c>
      <c r="E17" s="7">
        <f>D17*12</f>
        <v>8784</v>
      </c>
      <c r="F17" s="7"/>
      <c r="G17" s="4"/>
      <c r="I17" s="4">
        <v>7320</v>
      </c>
      <c r="J17" s="4">
        <f t="shared" si="4"/>
        <v>1464</v>
      </c>
      <c r="K17" s="69">
        <f t="shared" si="5"/>
        <v>0.2</v>
      </c>
      <c r="M17" s="4"/>
      <c r="N17" s="4"/>
      <c r="O17" s="69"/>
    </row>
    <row r="18" spans="1:15" ht="25.5" x14ac:dyDescent="0.2">
      <c r="A18" s="46" t="s">
        <v>39</v>
      </c>
      <c r="B18" s="5" t="s">
        <v>65</v>
      </c>
      <c r="C18" s="5" t="s">
        <v>147</v>
      </c>
      <c r="D18" s="6"/>
      <c r="E18" s="7">
        <f>5*102*6</f>
        <v>3060</v>
      </c>
      <c r="F18" s="7"/>
      <c r="G18" s="4"/>
      <c r="I18" s="4">
        <v>3150</v>
      </c>
      <c r="J18" s="4">
        <f t="shared" si="4"/>
        <v>-90</v>
      </c>
      <c r="K18" s="69">
        <f t="shared" si="5"/>
        <v>-2.8571428571428571E-2</v>
      </c>
      <c r="M18" s="4"/>
      <c r="N18" s="4"/>
      <c r="O18" s="69"/>
    </row>
    <row r="19" spans="1:15" x14ac:dyDescent="0.2">
      <c r="A19" s="46" t="s">
        <v>100</v>
      </c>
      <c r="B19" s="5" t="s">
        <v>66</v>
      </c>
      <c r="C19" s="5" t="s">
        <v>155</v>
      </c>
      <c r="D19" s="6">
        <v>175</v>
      </c>
      <c r="E19" s="7">
        <f>5*102*6</f>
        <v>3060</v>
      </c>
      <c r="F19" s="7"/>
      <c r="G19" s="4"/>
      <c r="I19" s="4">
        <v>3150</v>
      </c>
      <c r="J19" s="4">
        <f t="shared" si="4"/>
        <v>-90</v>
      </c>
      <c r="K19" s="69">
        <f t="shared" si="5"/>
        <v>-2.8571428571428571E-2</v>
      </c>
      <c r="M19" s="4"/>
      <c r="N19" s="4"/>
      <c r="O19" s="69"/>
    </row>
    <row r="20" spans="1:15" x14ac:dyDescent="0.2">
      <c r="A20" s="46" t="s">
        <v>101</v>
      </c>
      <c r="B20" s="5" t="s">
        <v>67</v>
      </c>
      <c r="C20" s="5" t="s">
        <v>156</v>
      </c>
      <c r="E20" s="6">
        <f>12*62*2</f>
        <v>1488</v>
      </c>
      <c r="F20" s="7"/>
      <c r="G20" s="4"/>
      <c r="I20" s="4">
        <v>1240</v>
      </c>
      <c r="J20" s="4">
        <f t="shared" si="4"/>
        <v>248</v>
      </c>
      <c r="K20" s="69">
        <f t="shared" si="5"/>
        <v>0.2</v>
      </c>
      <c r="M20" s="4"/>
      <c r="N20" s="4"/>
      <c r="O20" s="69"/>
    </row>
    <row r="21" spans="1:15" x14ac:dyDescent="0.2">
      <c r="A21" s="46" t="s">
        <v>102</v>
      </c>
      <c r="B21" s="5" t="s">
        <v>68</v>
      </c>
      <c r="C21" s="5" t="s">
        <v>157</v>
      </c>
      <c r="D21" s="6"/>
      <c r="E21" s="7">
        <f>82*52</f>
        <v>4264</v>
      </c>
      <c r="F21" s="7"/>
      <c r="G21" s="4"/>
      <c r="I21" s="4">
        <v>3900</v>
      </c>
      <c r="J21" s="4">
        <f t="shared" si="4"/>
        <v>364</v>
      </c>
      <c r="K21" s="69">
        <f t="shared" si="5"/>
        <v>9.3333333333333338E-2</v>
      </c>
      <c r="M21" s="4"/>
      <c r="N21" s="4"/>
      <c r="O21" s="69"/>
    </row>
    <row r="22" spans="1:15" ht="25.5" x14ac:dyDescent="0.2">
      <c r="A22" s="46" t="s">
        <v>103</v>
      </c>
      <c r="B22" s="5" t="s">
        <v>159</v>
      </c>
      <c r="C22" s="5" t="s">
        <v>160</v>
      </c>
      <c r="D22" s="6"/>
      <c r="E22" s="7">
        <f>125*102</f>
        <v>12750</v>
      </c>
      <c r="F22" s="7"/>
      <c r="G22" s="4"/>
      <c r="I22" s="4">
        <v>13125</v>
      </c>
      <c r="J22" s="4">
        <f t="shared" si="4"/>
        <v>-375</v>
      </c>
      <c r="K22" s="69">
        <f t="shared" si="5"/>
        <v>-2.8571428571428571E-2</v>
      </c>
      <c r="M22" s="4"/>
      <c r="N22" s="4"/>
      <c r="O22" s="69"/>
    </row>
    <row r="23" spans="1:15" ht="38.25" x14ac:dyDescent="0.2">
      <c r="A23" s="46" t="s">
        <v>104</v>
      </c>
      <c r="B23" s="5" t="s">
        <v>158</v>
      </c>
      <c r="C23" s="5" t="s">
        <v>148</v>
      </c>
      <c r="D23" s="6"/>
      <c r="E23" s="7">
        <f>0.6*20*4*102</f>
        <v>4896</v>
      </c>
      <c r="F23" s="7"/>
      <c r="G23" s="7"/>
      <c r="I23" s="7">
        <v>5040</v>
      </c>
      <c r="J23" s="7">
        <f t="shared" si="4"/>
        <v>-144</v>
      </c>
      <c r="K23" s="71">
        <f t="shared" si="5"/>
        <v>-2.8571428571428571E-2</v>
      </c>
      <c r="M23" s="7"/>
      <c r="N23" s="7"/>
      <c r="O23" s="71"/>
    </row>
    <row r="24" spans="1:15" s="13" customFormat="1" ht="25.5" x14ac:dyDescent="0.2">
      <c r="A24" s="46" t="s">
        <v>105</v>
      </c>
      <c r="B24" s="5" t="s">
        <v>41</v>
      </c>
      <c r="C24" s="5" t="s">
        <v>149</v>
      </c>
      <c r="D24" s="6"/>
      <c r="E24" s="7">
        <f>75*102</f>
        <v>7650</v>
      </c>
      <c r="F24" s="7"/>
      <c r="G24" s="7"/>
      <c r="I24" s="7">
        <v>7875</v>
      </c>
      <c r="J24" s="7">
        <f t="shared" si="4"/>
        <v>-225</v>
      </c>
      <c r="K24" s="71">
        <f t="shared" si="5"/>
        <v>-2.8571428571428571E-2</v>
      </c>
      <c r="M24" s="7"/>
      <c r="N24" s="7"/>
      <c r="O24" s="71"/>
    </row>
    <row r="25" spans="1:15" ht="25.5" x14ac:dyDescent="0.2">
      <c r="A25" s="46" t="s">
        <v>114</v>
      </c>
      <c r="B25" s="5" t="s">
        <v>162</v>
      </c>
      <c r="C25" s="5" t="s">
        <v>161</v>
      </c>
      <c r="D25" s="6"/>
      <c r="E25" s="7">
        <f>12.7*18*102</f>
        <v>23317.200000000001</v>
      </c>
      <c r="F25" s="7"/>
      <c r="G25" s="7"/>
      <c r="I25" s="7">
        <v>21735</v>
      </c>
      <c r="J25" s="7">
        <f t="shared" si="4"/>
        <v>1582.2000000000007</v>
      </c>
      <c r="K25" s="71">
        <f t="shared" si="5"/>
        <v>7.2795031055900655E-2</v>
      </c>
      <c r="M25" s="7"/>
      <c r="N25" s="7"/>
      <c r="O25" s="71"/>
    </row>
    <row r="26" spans="1:15" ht="25.5" x14ac:dyDescent="0.2">
      <c r="A26" s="46" t="s">
        <v>106</v>
      </c>
      <c r="B26" s="5" t="s">
        <v>35</v>
      </c>
      <c r="C26" s="5" t="s">
        <v>150</v>
      </c>
      <c r="D26" s="7"/>
      <c r="E26" s="7">
        <f>0.75*10*102*12</f>
        <v>9180</v>
      </c>
      <c r="F26" s="7"/>
      <c r="G26" s="7"/>
      <c r="I26" s="7">
        <v>9450</v>
      </c>
      <c r="J26" s="7">
        <f t="shared" si="4"/>
        <v>-270</v>
      </c>
      <c r="K26" s="71">
        <f t="shared" si="5"/>
        <v>-2.8571428571428571E-2</v>
      </c>
      <c r="M26" s="7"/>
      <c r="N26" s="7"/>
      <c r="O26" s="71"/>
    </row>
    <row r="27" spans="1:15" ht="25.5" x14ac:dyDescent="0.2">
      <c r="A27" s="46" t="s">
        <v>115</v>
      </c>
      <c r="B27" s="14" t="s">
        <v>69</v>
      </c>
      <c r="C27" s="14" t="s">
        <v>123</v>
      </c>
      <c r="D27" s="15">
        <v>2350</v>
      </c>
      <c r="E27" s="15">
        <f>2350*12</f>
        <v>28200</v>
      </c>
      <c r="F27" s="4"/>
      <c r="G27" s="4"/>
      <c r="I27" s="4">
        <v>28200</v>
      </c>
      <c r="J27" s="4">
        <f t="shared" si="4"/>
        <v>0</v>
      </c>
      <c r="K27" s="69">
        <f t="shared" si="5"/>
        <v>0</v>
      </c>
      <c r="M27" s="4"/>
      <c r="N27" s="4"/>
      <c r="O27" s="69"/>
    </row>
    <row r="28" spans="1:15" x14ac:dyDescent="0.2">
      <c r="A28" s="46" t="s">
        <v>116</v>
      </c>
      <c r="B28" s="5" t="s">
        <v>163</v>
      </c>
      <c r="C28" s="5" t="s">
        <v>164</v>
      </c>
      <c r="D28" s="7">
        <v>355</v>
      </c>
      <c r="E28" s="7">
        <f>355*12</f>
        <v>4260</v>
      </c>
      <c r="F28" s="7"/>
      <c r="G28" s="7"/>
      <c r="I28" s="7">
        <v>3600</v>
      </c>
      <c r="J28" s="7">
        <f t="shared" si="4"/>
        <v>660</v>
      </c>
      <c r="K28" s="71">
        <f t="shared" si="5"/>
        <v>0.18333333333333332</v>
      </c>
      <c r="M28" s="7"/>
      <c r="N28" s="7"/>
      <c r="O28" s="71"/>
    </row>
    <row r="29" spans="1:15" x14ac:dyDescent="0.2">
      <c r="A29" s="8"/>
      <c r="B29" s="8" t="s">
        <v>6</v>
      </c>
      <c r="C29" s="16" t="s">
        <v>56</v>
      </c>
      <c r="D29" s="9"/>
      <c r="E29" s="10">
        <f>SUM(E15:E28)</f>
        <v>153359.20000000001</v>
      </c>
      <c r="F29" s="10">
        <v>65100</v>
      </c>
      <c r="G29" s="10">
        <f>E29-F29</f>
        <v>88259.200000000012</v>
      </c>
      <c r="I29" s="78">
        <v>148630</v>
      </c>
      <c r="J29" s="78">
        <f t="shared" si="4"/>
        <v>4729.2000000000116</v>
      </c>
      <c r="K29" s="79">
        <f t="shared" si="5"/>
        <v>3.1818609971069174E-2</v>
      </c>
      <c r="M29" s="78">
        <v>83530</v>
      </c>
      <c r="N29" s="78">
        <f>G29-M29</f>
        <v>4729.2000000000116</v>
      </c>
      <c r="O29" s="79">
        <f>N29/M29</f>
        <v>5.6616784388842469E-2</v>
      </c>
    </row>
    <row r="30" spans="1:15" ht="12.75" customHeight="1" x14ac:dyDescent="0.2">
      <c r="A30" s="56" t="s">
        <v>70</v>
      </c>
      <c r="B30" s="57"/>
      <c r="C30" s="57"/>
      <c r="D30" s="57"/>
      <c r="E30" s="57"/>
      <c r="F30" s="57"/>
      <c r="G30" s="58"/>
      <c r="I30" s="1"/>
      <c r="J30" s="1"/>
      <c r="K30" s="70"/>
      <c r="M30" s="1"/>
      <c r="N30" s="1"/>
      <c r="O30" s="70"/>
    </row>
    <row r="31" spans="1:15" x14ac:dyDescent="0.2">
      <c r="A31" s="46" t="s">
        <v>107</v>
      </c>
      <c r="B31" s="5" t="s">
        <v>165</v>
      </c>
      <c r="C31" s="17">
        <f>27*40</f>
        <v>1080</v>
      </c>
      <c r="D31" s="6"/>
      <c r="E31" s="7">
        <f>C31</f>
        <v>1080</v>
      </c>
      <c r="F31" s="7">
        <f>E31</f>
        <v>1080</v>
      </c>
      <c r="G31" s="7"/>
      <c r="I31" s="7">
        <v>1000</v>
      </c>
      <c r="J31" s="7">
        <f t="shared" ref="J31:J33" si="6">E31-I31</f>
        <v>80</v>
      </c>
      <c r="K31" s="71">
        <f t="shared" ref="K31:K33" si="7">J31/I31</f>
        <v>0.08</v>
      </c>
      <c r="M31" s="7"/>
      <c r="N31" s="7"/>
      <c r="O31" s="71"/>
    </row>
    <row r="32" spans="1:15" x14ac:dyDescent="0.2">
      <c r="A32" s="46" t="s">
        <v>108</v>
      </c>
      <c r="B32" s="5" t="s">
        <v>71</v>
      </c>
      <c r="C32" s="17">
        <v>1725</v>
      </c>
      <c r="D32" s="6"/>
      <c r="E32" s="7">
        <v>1725</v>
      </c>
      <c r="F32" s="7">
        <v>1725</v>
      </c>
      <c r="G32" s="7"/>
      <c r="I32" s="7">
        <v>1725</v>
      </c>
      <c r="J32" s="7">
        <f t="shared" si="6"/>
        <v>0</v>
      </c>
      <c r="K32" s="71">
        <f t="shared" si="7"/>
        <v>0</v>
      </c>
      <c r="M32" s="7"/>
      <c r="N32" s="7"/>
      <c r="O32" s="71"/>
    </row>
    <row r="33" spans="1:15" x14ac:dyDescent="0.2">
      <c r="A33" s="8"/>
      <c r="B33" s="8" t="s">
        <v>6</v>
      </c>
      <c r="C33" s="16" t="s">
        <v>57</v>
      </c>
      <c r="D33" s="9"/>
      <c r="E33" s="10">
        <f>SUM(E31:E32)</f>
        <v>2805</v>
      </c>
      <c r="F33" s="10">
        <f>SUM(F31:F32)</f>
        <v>2805</v>
      </c>
      <c r="G33" s="10">
        <f>E33-F33</f>
        <v>0</v>
      </c>
      <c r="I33" s="78">
        <v>2725</v>
      </c>
      <c r="J33" s="78">
        <f t="shared" si="6"/>
        <v>80</v>
      </c>
      <c r="K33" s="79">
        <f t="shared" si="7"/>
        <v>2.9357798165137616E-2</v>
      </c>
      <c r="M33" s="78">
        <v>0</v>
      </c>
      <c r="N33" s="78">
        <f>G33-M33</f>
        <v>0</v>
      </c>
      <c r="O33" s="79" t="e">
        <f>N33/M33</f>
        <v>#DIV/0!</v>
      </c>
    </row>
    <row r="34" spans="1:15" ht="12.75" customHeight="1" x14ac:dyDescent="0.2">
      <c r="A34" s="56" t="s">
        <v>13</v>
      </c>
      <c r="B34" s="57"/>
      <c r="C34" s="57"/>
      <c r="D34" s="57"/>
      <c r="E34" s="57"/>
      <c r="F34" s="57"/>
      <c r="G34" s="58"/>
      <c r="I34" s="1"/>
      <c r="J34" s="1"/>
      <c r="K34" s="70"/>
      <c r="M34" s="1"/>
      <c r="N34" s="1"/>
      <c r="O34" s="70"/>
    </row>
    <row r="35" spans="1:15" x14ac:dyDescent="0.2">
      <c r="A35" s="46" t="s">
        <v>10</v>
      </c>
      <c r="B35" s="5" t="s">
        <v>166</v>
      </c>
      <c r="C35" s="5" t="s">
        <v>170</v>
      </c>
      <c r="D35" s="7"/>
      <c r="E35" s="49">
        <f>2*22*102</f>
        <v>4488</v>
      </c>
      <c r="F35" s="7">
        <f>E35</f>
        <v>4488</v>
      </c>
      <c r="G35" s="7"/>
      <c r="I35" s="7">
        <v>4620</v>
      </c>
      <c r="J35" s="7">
        <f t="shared" ref="J35:J42" si="8">E35-I35</f>
        <v>-132</v>
      </c>
      <c r="K35" s="71">
        <f t="shared" ref="K35:K42" si="9">J35/I35</f>
        <v>-2.8571428571428571E-2</v>
      </c>
      <c r="M35" s="7"/>
      <c r="N35" s="7"/>
      <c r="O35" s="71"/>
    </row>
    <row r="36" spans="1:15" x14ac:dyDescent="0.2">
      <c r="A36" s="46" t="s">
        <v>11</v>
      </c>
      <c r="B36" s="5" t="s">
        <v>167</v>
      </c>
      <c r="C36" s="5" t="s">
        <v>171</v>
      </c>
      <c r="D36" s="7"/>
      <c r="E36" s="49">
        <f>2*90*102</f>
        <v>18360</v>
      </c>
      <c r="F36" s="7">
        <f>E36</f>
        <v>18360</v>
      </c>
      <c r="G36" s="7"/>
      <c r="I36" s="7">
        <v>18900</v>
      </c>
      <c r="J36" s="7">
        <f t="shared" si="8"/>
        <v>-540</v>
      </c>
      <c r="K36" s="71">
        <f t="shared" si="9"/>
        <v>-2.8571428571428571E-2</v>
      </c>
      <c r="M36" s="7"/>
      <c r="N36" s="7"/>
      <c r="O36" s="71"/>
    </row>
    <row r="37" spans="1:15" x14ac:dyDescent="0.2">
      <c r="A37" s="46" t="s">
        <v>117</v>
      </c>
      <c r="B37" s="5" t="s">
        <v>168</v>
      </c>
      <c r="C37" s="5" t="s">
        <v>172</v>
      </c>
      <c r="D37" s="7">
        <f>24*102</f>
        <v>2448</v>
      </c>
      <c r="E37" s="49">
        <f>24*102*12</f>
        <v>29376</v>
      </c>
      <c r="F37" s="7">
        <v>17400</v>
      </c>
      <c r="G37" s="7"/>
      <c r="I37" s="7">
        <v>30240</v>
      </c>
      <c r="J37" s="7">
        <f t="shared" si="8"/>
        <v>-864</v>
      </c>
      <c r="K37" s="71">
        <f t="shared" si="9"/>
        <v>-2.8571428571428571E-2</v>
      </c>
      <c r="M37" s="7"/>
      <c r="N37" s="7"/>
      <c r="O37" s="71"/>
    </row>
    <row r="38" spans="1:15" x14ac:dyDescent="0.2">
      <c r="A38" s="46" t="s">
        <v>118</v>
      </c>
      <c r="B38" s="5" t="s">
        <v>169</v>
      </c>
      <c r="C38" s="5" t="s">
        <v>173</v>
      </c>
      <c r="D38" s="7">
        <f>17*102</f>
        <v>1734</v>
      </c>
      <c r="E38" s="49">
        <f>17*102*12</f>
        <v>20808</v>
      </c>
      <c r="F38" s="7">
        <v>16728</v>
      </c>
      <c r="G38" s="7"/>
      <c r="I38" s="7">
        <v>21420</v>
      </c>
      <c r="J38" s="7">
        <f t="shared" si="8"/>
        <v>-612</v>
      </c>
      <c r="K38" s="71">
        <f t="shared" si="9"/>
        <v>-2.8571428571428571E-2</v>
      </c>
      <c r="M38" s="7"/>
      <c r="N38" s="7"/>
      <c r="O38" s="71"/>
    </row>
    <row r="39" spans="1:15" x14ac:dyDescent="0.2">
      <c r="A39" s="46" t="s">
        <v>119</v>
      </c>
      <c r="B39" s="5" t="s">
        <v>59</v>
      </c>
      <c r="C39" s="5" t="s">
        <v>60</v>
      </c>
      <c r="D39" s="7">
        <v>252</v>
      </c>
      <c r="E39" s="49">
        <f>D39*12</f>
        <v>3024</v>
      </c>
      <c r="F39" s="7">
        <v>3024</v>
      </c>
      <c r="G39" s="7"/>
      <c r="I39" s="7">
        <v>3024</v>
      </c>
      <c r="J39" s="7">
        <f t="shared" si="8"/>
        <v>0</v>
      </c>
      <c r="K39" s="71">
        <f t="shared" si="9"/>
        <v>0</v>
      </c>
      <c r="M39" s="7"/>
      <c r="N39" s="7"/>
      <c r="O39" s="71"/>
    </row>
    <row r="40" spans="1:15" x14ac:dyDescent="0.2">
      <c r="A40" s="46" t="s">
        <v>120</v>
      </c>
      <c r="B40" s="5" t="s">
        <v>20</v>
      </c>
      <c r="C40" s="5" t="s">
        <v>174</v>
      </c>
      <c r="D40" s="7">
        <f>38*102</f>
        <v>3876</v>
      </c>
      <c r="E40" s="49">
        <f>D40*12</f>
        <v>46512</v>
      </c>
      <c r="F40" s="7">
        <f>E40</f>
        <v>46512</v>
      </c>
      <c r="G40" s="7"/>
      <c r="I40" s="7">
        <v>47880</v>
      </c>
      <c r="J40" s="7">
        <f t="shared" si="8"/>
        <v>-1368</v>
      </c>
      <c r="K40" s="71">
        <f t="shared" si="9"/>
        <v>-2.8571428571428571E-2</v>
      </c>
      <c r="M40" s="7"/>
      <c r="N40" s="7"/>
      <c r="O40" s="71"/>
    </row>
    <row r="41" spans="1:15" ht="25.5" x14ac:dyDescent="0.2">
      <c r="A41" s="46" t="s">
        <v>121</v>
      </c>
      <c r="B41" s="5" t="s">
        <v>124</v>
      </c>
      <c r="C41" s="5">
        <f>40* 4*65</f>
        <v>10400</v>
      </c>
      <c r="D41" s="7"/>
      <c r="E41" s="49">
        <f>C41</f>
        <v>10400</v>
      </c>
      <c r="F41" s="7">
        <v>10400</v>
      </c>
      <c r="G41" s="7"/>
      <c r="I41" s="7">
        <v>10400</v>
      </c>
      <c r="J41" s="7">
        <f t="shared" si="8"/>
        <v>0</v>
      </c>
      <c r="K41" s="71">
        <f t="shared" si="9"/>
        <v>0</v>
      </c>
      <c r="M41" s="7"/>
      <c r="N41" s="7"/>
      <c r="O41" s="71"/>
    </row>
    <row r="42" spans="1:15" x14ac:dyDescent="0.2">
      <c r="A42" s="8"/>
      <c r="B42" s="18" t="s">
        <v>6</v>
      </c>
      <c r="C42" s="18" t="s">
        <v>58</v>
      </c>
      <c r="D42" s="19"/>
      <c r="E42" s="10">
        <f>SUM(E35:E41)</f>
        <v>132968</v>
      </c>
      <c r="F42" s="10">
        <f>SUM(F35:F41)</f>
        <v>116912</v>
      </c>
      <c r="G42" s="10">
        <f>E42-F42</f>
        <v>16056</v>
      </c>
      <c r="I42" s="78">
        <v>136484</v>
      </c>
      <c r="J42" s="78">
        <f t="shared" si="8"/>
        <v>-3516</v>
      </c>
      <c r="K42" s="79">
        <f t="shared" si="9"/>
        <v>-2.5761261393276867E-2</v>
      </c>
      <c r="M42" s="78">
        <v>17532</v>
      </c>
      <c r="N42" s="78">
        <f>G42-M42</f>
        <v>-1476</v>
      </c>
      <c r="O42" s="79">
        <f>N42/M42</f>
        <v>-8.4188911704312114E-2</v>
      </c>
    </row>
    <row r="43" spans="1:15" ht="12.75" customHeight="1" x14ac:dyDescent="0.2">
      <c r="A43" s="56" t="s">
        <v>72</v>
      </c>
      <c r="B43" s="57"/>
      <c r="C43" s="57"/>
      <c r="D43" s="57"/>
      <c r="E43" s="57"/>
      <c r="F43" s="57"/>
      <c r="G43" s="58"/>
      <c r="I43" s="1"/>
      <c r="J43" s="1"/>
      <c r="K43" s="70"/>
      <c r="M43" s="1"/>
      <c r="N43" s="1"/>
      <c r="O43" s="70"/>
    </row>
    <row r="44" spans="1:15" s="25" customFormat="1" x14ac:dyDescent="0.2">
      <c r="A44" s="20" t="s">
        <v>14</v>
      </c>
      <c r="B44" s="21" t="s">
        <v>73</v>
      </c>
      <c r="C44" s="21" t="s">
        <v>74</v>
      </c>
      <c r="D44" s="22"/>
      <c r="E44" s="23">
        <f>46*12*30</f>
        <v>16560</v>
      </c>
      <c r="F44" s="48">
        <v>16200</v>
      </c>
      <c r="G44" s="24"/>
      <c r="I44" s="24">
        <v>16200</v>
      </c>
      <c r="J44" s="24">
        <f t="shared" ref="J44:J52" si="10">E44-I44</f>
        <v>360</v>
      </c>
      <c r="K44" s="72">
        <f t="shared" ref="K44:K52" si="11">J44/I44</f>
        <v>2.2222222222222223E-2</v>
      </c>
      <c r="M44" s="24"/>
      <c r="N44" s="24"/>
      <c r="O44" s="72"/>
    </row>
    <row r="45" spans="1:15" s="25" customFormat="1" x14ac:dyDescent="0.2">
      <c r="A45" s="20" t="s">
        <v>15</v>
      </c>
      <c r="B45" s="21" t="s">
        <v>75</v>
      </c>
      <c r="C45" s="21" t="s">
        <v>76</v>
      </c>
      <c r="D45" s="22"/>
      <c r="E45" s="23">
        <f>8*12*57</f>
        <v>5472</v>
      </c>
      <c r="F45" s="48">
        <v>5280</v>
      </c>
      <c r="G45" s="24"/>
      <c r="I45" s="24">
        <v>5280</v>
      </c>
      <c r="J45" s="24">
        <f t="shared" si="10"/>
        <v>192</v>
      </c>
      <c r="K45" s="72">
        <f t="shared" si="11"/>
        <v>3.6363636363636362E-2</v>
      </c>
      <c r="M45" s="24"/>
      <c r="N45" s="24"/>
      <c r="O45" s="72"/>
    </row>
    <row r="46" spans="1:15" s="25" customFormat="1" x14ac:dyDescent="0.2">
      <c r="A46" s="20" t="s">
        <v>16</v>
      </c>
      <c r="B46" s="21" t="s">
        <v>77</v>
      </c>
      <c r="C46" s="21" t="s">
        <v>78</v>
      </c>
      <c r="D46" s="22"/>
      <c r="E46" s="23">
        <f>12*12*121</f>
        <v>17424</v>
      </c>
      <c r="F46" s="48">
        <v>16704</v>
      </c>
      <c r="G46" s="24"/>
      <c r="I46" s="24">
        <v>16704</v>
      </c>
      <c r="J46" s="24">
        <f t="shared" si="10"/>
        <v>720</v>
      </c>
      <c r="K46" s="72">
        <f t="shared" si="11"/>
        <v>4.3103448275862072E-2</v>
      </c>
      <c r="M46" s="24"/>
      <c r="N46" s="24"/>
      <c r="O46" s="72"/>
    </row>
    <row r="47" spans="1:15" s="25" customFormat="1" x14ac:dyDescent="0.2">
      <c r="A47" s="20" t="s">
        <v>17</v>
      </c>
      <c r="B47" s="21" t="s">
        <v>79</v>
      </c>
      <c r="C47" s="21" t="s">
        <v>80</v>
      </c>
      <c r="D47" s="22"/>
      <c r="E47" s="23">
        <f>10*3*78</f>
        <v>2340</v>
      </c>
      <c r="F47" s="48"/>
      <c r="G47" s="24"/>
      <c r="I47" s="24">
        <v>2220</v>
      </c>
      <c r="J47" s="24">
        <f t="shared" si="10"/>
        <v>120</v>
      </c>
      <c r="K47" s="72">
        <f t="shared" si="11"/>
        <v>5.4054054054054057E-2</v>
      </c>
      <c r="M47" s="24"/>
      <c r="N47" s="24"/>
      <c r="O47" s="72"/>
    </row>
    <row r="48" spans="1:15" s="25" customFormat="1" x14ac:dyDescent="0.2">
      <c r="A48" s="20" t="s">
        <v>18</v>
      </c>
      <c r="B48" s="21" t="s">
        <v>81</v>
      </c>
      <c r="C48" s="21" t="s">
        <v>82</v>
      </c>
      <c r="D48" s="22"/>
      <c r="E48" s="23">
        <f>40*12*27</f>
        <v>12960</v>
      </c>
      <c r="F48" s="48">
        <f>E48</f>
        <v>12960</v>
      </c>
      <c r="G48" s="24"/>
      <c r="I48" s="24">
        <v>12000</v>
      </c>
      <c r="J48" s="24">
        <f t="shared" si="10"/>
        <v>960</v>
      </c>
      <c r="K48" s="72">
        <f t="shared" si="11"/>
        <v>0.08</v>
      </c>
      <c r="M48" s="24"/>
      <c r="N48" s="24"/>
      <c r="O48" s="72"/>
    </row>
    <row r="49" spans="1:15" s="25" customFormat="1" x14ac:dyDescent="0.2">
      <c r="A49" s="20" t="s">
        <v>19</v>
      </c>
      <c r="B49" s="21" t="s">
        <v>83</v>
      </c>
      <c r="C49" s="21" t="s">
        <v>84</v>
      </c>
      <c r="D49" s="22"/>
      <c r="E49" s="23">
        <f>20*6*157</f>
        <v>18840</v>
      </c>
      <c r="F49" s="48">
        <f>E49</f>
        <v>18840</v>
      </c>
      <c r="G49" s="24"/>
      <c r="I49" s="24">
        <v>18000</v>
      </c>
      <c r="J49" s="24">
        <f t="shared" si="10"/>
        <v>840</v>
      </c>
      <c r="K49" s="72">
        <f t="shared" si="11"/>
        <v>4.6666666666666669E-2</v>
      </c>
      <c r="M49" s="24"/>
      <c r="N49" s="24"/>
      <c r="O49" s="72"/>
    </row>
    <row r="50" spans="1:15" s="25" customFormat="1" x14ac:dyDescent="0.2">
      <c r="A50" s="20" t="s">
        <v>21</v>
      </c>
      <c r="B50" s="21" t="s">
        <v>85</v>
      </c>
      <c r="C50" s="21" t="s">
        <v>84</v>
      </c>
      <c r="D50" s="22"/>
      <c r="E50" s="23">
        <f>20*6*71</f>
        <v>8520</v>
      </c>
      <c r="F50" s="48"/>
      <c r="G50" s="24"/>
      <c r="I50" s="24">
        <v>7800</v>
      </c>
      <c r="J50" s="24">
        <f t="shared" si="10"/>
        <v>720</v>
      </c>
      <c r="K50" s="72">
        <f t="shared" si="11"/>
        <v>9.2307692307692313E-2</v>
      </c>
      <c r="M50" s="24"/>
      <c r="N50" s="24"/>
      <c r="O50" s="72"/>
    </row>
    <row r="51" spans="1:15" s="25" customFormat="1" x14ac:dyDescent="0.2">
      <c r="A51" s="20" t="s">
        <v>86</v>
      </c>
      <c r="B51" s="21" t="s">
        <v>87</v>
      </c>
      <c r="C51" s="21" t="s">
        <v>88</v>
      </c>
      <c r="D51" s="22"/>
      <c r="E51" s="23">
        <f>10*6*122</f>
        <v>7320</v>
      </c>
      <c r="F51" s="48"/>
      <c r="G51" s="24"/>
      <c r="I51" s="24">
        <v>7200</v>
      </c>
      <c r="J51" s="24">
        <f t="shared" si="10"/>
        <v>120</v>
      </c>
      <c r="K51" s="72">
        <f t="shared" si="11"/>
        <v>1.6666666666666666E-2</v>
      </c>
      <c r="M51" s="24"/>
      <c r="N51" s="24"/>
      <c r="O51" s="72"/>
    </row>
    <row r="52" spans="1:15" x14ac:dyDescent="0.2">
      <c r="A52" s="8"/>
      <c r="B52" s="8" t="s">
        <v>6</v>
      </c>
      <c r="C52" s="8" t="s">
        <v>12</v>
      </c>
      <c r="D52" s="26"/>
      <c r="E52" s="10">
        <f>SUM(E44:E51)</f>
        <v>89436</v>
      </c>
      <c r="F52" s="10">
        <f>SUM(F44:F51)</f>
        <v>69984</v>
      </c>
      <c r="G52" s="10">
        <f>E52-F52</f>
        <v>19452</v>
      </c>
      <c r="I52" s="78">
        <v>85404</v>
      </c>
      <c r="J52" s="78">
        <f t="shared" si="10"/>
        <v>4032</v>
      </c>
      <c r="K52" s="79">
        <f t="shared" si="11"/>
        <v>4.7210903470563441E-2</v>
      </c>
      <c r="M52" s="78">
        <v>17220</v>
      </c>
      <c r="N52" s="78">
        <f>G52-M52</f>
        <v>2232</v>
      </c>
      <c r="O52" s="79">
        <f>N52/M52</f>
        <v>0.12961672473867597</v>
      </c>
    </row>
    <row r="53" spans="1:15" ht="12.75" customHeight="1" x14ac:dyDescent="0.2">
      <c r="A53" s="56" t="s">
        <v>32</v>
      </c>
      <c r="B53" s="57"/>
      <c r="C53" s="57"/>
      <c r="D53" s="57"/>
      <c r="E53" s="57"/>
      <c r="F53" s="57"/>
      <c r="G53" s="58"/>
      <c r="I53" s="1"/>
      <c r="J53" s="1"/>
      <c r="K53" s="70"/>
      <c r="M53" s="1"/>
      <c r="N53" s="1"/>
      <c r="O53" s="70"/>
    </row>
    <row r="54" spans="1:15" x14ac:dyDescent="0.2">
      <c r="A54" s="46" t="s">
        <v>89</v>
      </c>
      <c r="B54" s="27" t="s">
        <v>90</v>
      </c>
      <c r="C54" s="27" t="s">
        <v>175</v>
      </c>
      <c r="D54" s="3">
        <f>41*25*2</f>
        <v>2050</v>
      </c>
      <c r="E54" s="4">
        <f>D54*12</f>
        <v>24600</v>
      </c>
      <c r="F54" s="4">
        <v>14000</v>
      </c>
      <c r="G54" s="4">
        <f>E54-F54</f>
        <v>10600</v>
      </c>
      <c r="I54" s="4">
        <v>21600</v>
      </c>
      <c r="J54" s="4">
        <f t="shared" ref="J54:J55" si="12">E54-I54</f>
        <v>3000</v>
      </c>
      <c r="K54" s="69">
        <f t="shared" ref="K54:K55" si="13">J54/I54</f>
        <v>0.1388888888888889</v>
      </c>
      <c r="M54" s="4">
        <v>7600</v>
      </c>
      <c r="N54" s="4"/>
      <c r="O54" s="69"/>
    </row>
    <row r="55" spans="1:15" x14ac:dyDescent="0.2">
      <c r="A55" s="8"/>
      <c r="B55" s="8" t="s">
        <v>6</v>
      </c>
      <c r="C55" s="8" t="s">
        <v>22</v>
      </c>
      <c r="D55" s="26"/>
      <c r="E55" s="10">
        <f>SUM(E54)</f>
        <v>24600</v>
      </c>
      <c r="F55" s="10">
        <f>SUM(F54)</f>
        <v>14000</v>
      </c>
      <c r="G55" s="10">
        <f>E55-F55</f>
        <v>10600</v>
      </c>
      <c r="I55" s="78">
        <v>21600</v>
      </c>
      <c r="J55" s="78">
        <f t="shared" si="12"/>
        <v>3000</v>
      </c>
      <c r="K55" s="79">
        <f t="shared" si="13"/>
        <v>0.1388888888888889</v>
      </c>
      <c r="M55" s="78">
        <v>7600</v>
      </c>
      <c r="N55" s="78">
        <f>G55-M55</f>
        <v>3000</v>
      </c>
      <c r="O55" s="79">
        <f>N55/M55</f>
        <v>0.39473684210526316</v>
      </c>
    </row>
    <row r="56" spans="1:15" ht="12.75" customHeight="1" x14ac:dyDescent="0.2">
      <c r="A56" s="56" t="s">
        <v>34</v>
      </c>
      <c r="B56" s="57"/>
      <c r="C56" s="57"/>
      <c r="D56" s="57"/>
      <c r="E56" s="57"/>
      <c r="F56" s="57"/>
      <c r="G56" s="58"/>
      <c r="I56" s="1"/>
      <c r="J56" s="1"/>
      <c r="K56" s="70"/>
      <c r="M56" s="1"/>
      <c r="N56" s="1"/>
      <c r="O56" s="70"/>
    </row>
    <row r="57" spans="1:15" ht="25.5" x14ac:dyDescent="0.2">
      <c r="A57" s="46" t="s">
        <v>183</v>
      </c>
      <c r="B57" s="5" t="s">
        <v>91</v>
      </c>
      <c r="C57" s="46"/>
      <c r="D57" s="3">
        <v>10026</v>
      </c>
      <c r="E57" s="4">
        <f>D57*4</f>
        <v>40104</v>
      </c>
      <c r="F57" s="4">
        <f>E57</f>
        <v>40104</v>
      </c>
      <c r="G57" s="4">
        <f>E57-F57</f>
        <v>0</v>
      </c>
      <c r="I57" s="4">
        <v>40104</v>
      </c>
      <c r="J57" s="4">
        <f t="shared" ref="J57:J58" si="14">E57-I57</f>
        <v>0</v>
      </c>
      <c r="K57" s="69">
        <f t="shared" ref="K57:K58" si="15">J57/I57</f>
        <v>0</v>
      </c>
      <c r="M57" s="4">
        <v>20104</v>
      </c>
      <c r="N57" s="4"/>
      <c r="O57" s="69"/>
    </row>
    <row r="58" spans="1:15" x14ac:dyDescent="0.2">
      <c r="A58" s="8"/>
      <c r="B58" s="8" t="s">
        <v>6</v>
      </c>
      <c r="C58" s="8" t="s">
        <v>42</v>
      </c>
      <c r="D58" s="26"/>
      <c r="E58" s="10">
        <f>SUM(E57)</f>
        <v>40104</v>
      </c>
      <c r="F58" s="10">
        <f>SUM(F57)</f>
        <v>40104</v>
      </c>
      <c r="G58" s="10">
        <f>E58-F58</f>
        <v>0</v>
      </c>
      <c r="I58" s="78">
        <v>40104</v>
      </c>
      <c r="J58" s="78">
        <f t="shared" si="14"/>
        <v>0</v>
      </c>
      <c r="K58" s="79">
        <f t="shared" si="15"/>
        <v>0</v>
      </c>
      <c r="M58" s="78">
        <v>20104</v>
      </c>
      <c r="N58" s="78">
        <f>G58-M58</f>
        <v>-20104</v>
      </c>
      <c r="O58" s="79">
        <f>N58/M58</f>
        <v>-1</v>
      </c>
    </row>
    <row r="59" spans="1:15" s="11" customFormat="1" ht="12.75" customHeight="1" x14ac:dyDescent="0.2">
      <c r="A59" s="59" t="s">
        <v>122</v>
      </c>
      <c r="B59" s="60"/>
      <c r="C59" s="60"/>
      <c r="D59" s="60"/>
      <c r="E59" s="60"/>
      <c r="F59" s="60"/>
      <c r="G59" s="61"/>
      <c r="K59" s="73"/>
      <c r="O59" s="73"/>
    </row>
    <row r="60" spans="1:15" x14ac:dyDescent="0.2">
      <c r="A60" s="46" t="s">
        <v>43</v>
      </c>
      <c r="B60" s="5" t="s">
        <v>23</v>
      </c>
      <c r="C60" s="5" t="s">
        <v>176</v>
      </c>
      <c r="D60" s="6">
        <v>9500</v>
      </c>
      <c r="E60" s="7">
        <f t="shared" ref="E60:E68" si="16">D60*11</f>
        <v>104500</v>
      </c>
      <c r="F60" s="7">
        <f>E60</f>
        <v>104500</v>
      </c>
      <c r="G60" s="4">
        <f t="shared" ref="G60:G69" si="17">E60-F60</f>
        <v>0</v>
      </c>
      <c r="I60" s="4">
        <v>99000</v>
      </c>
      <c r="J60" s="4">
        <f t="shared" ref="J60:J69" si="18">E60-I60</f>
        <v>5500</v>
      </c>
      <c r="K60" s="69">
        <f t="shared" ref="K60:K69" si="19">J60/I60</f>
        <v>5.5555555555555552E-2</v>
      </c>
      <c r="M60" s="4">
        <v>0</v>
      </c>
      <c r="N60" s="4">
        <f>G60-M60</f>
        <v>0</v>
      </c>
      <c r="O60" s="69"/>
    </row>
    <row r="61" spans="1:15" x14ac:dyDescent="0.2">
      <c r="A61" s="46" t="s">
        <v>44</v>
      </c>
      <c r="B61" s="5" t="s">
        <v>61</v>
      </c>
      <c r="C61" s="5" t="s">
        <v>177</v>
      </c>
      <c r="D61" s="6">
        <v>4500</v>
      </c>
      <c r="E61" s="7">
        <f t="shared" si="16"/>
        <v>49500</v>
      </c>
      <c r="F61" s="7">
        <v>49500</v>
      </c>
      <c r="G61" s="4">
        <f t="shared" si="17"/>
        <v>0</v>
      </c>
      <c r="I61" s="4">
        <v>48400</v>
      </c>
      <c r="J61" s="4">
        <f t="shared" si="18"/>
        <v>1100</v>
      </c>
      <c r="K61" s="69">
        <f t="shared" si="19"/>
        <v>2.2727272727272728E-2</v>
      </c>
      <c r="M61" s="4">
        <v>48400</v>
      </c>
      <c r="N61" s="4">
        <f>G61-M61</f>
        <v>-48400</v>
      </c>
      <c r="O61" s="69"/>
    </row>
    <row r="62" spans="1:15" x14ac:dyDescent="0.2">
      <c r="A62" s="46" t="s">
        <v>45</v>
      </c>
      <c r="B62" s="5" t="s">
        <v>179</v>
      </c>
      <c r="C62" s="5" t="s">
        <v>184</v>
      </c>
      <c r="D62" s="6">
        <v>8700</v>
      </c>
      <c r="E62" s="7">
        <f t="shared" si="16"/>
        <v>95700</v>
      </c>
      <c r="F62" s="7">
        <v>77000</v>
      </c>
      <c r="G62" s="4">
        <f t="shared" si="17"/>
        <v>18700</v>
      </c>
      <c r="I62" s="4">
        <v>77000</v>
      </c>
      <c r="J62" s="4">
        <f t="shared" si="18"/>
        <v>18700</v>
      </c>
      <c r="K62" s="69">
        <f t="shared" si="19"/>
        <v>0.24285714285714285</v>
      </c>
      <c r="M62" s="4">
        <v>44000</v>
      </c>
      <c r="N62" s="4">
        <f>G62-M62</f>
        <v>-25300</v>
      </c>
      <c r="O62" s="69"/>
    </row>
    <row r="63" spans="1:15" x14ac:dyDescent="0.2">
      <c r="A63" s="46" t="s">
        <v>46</v>
      </c>
      <c r="B63" s="5" t="s">
        <v>24</v>
      </c>
      <c r="C63" s="5" t="s">
        <v>37</v>
      </c>
      <c r="D63" s="6">
        <v>4500</v>
      </c>
      <c r="E63" s="7">
        <f t="shared" si="16"/>
        <v>49500</v>
      </c>
      <c r="F63" s="7">
        <v>49500</v>
      </c>
      <c r="G63" s="4">
        <f t="shared" si="17"/>
        <v>0</v>
      </c>
      <c r="I63" s="4">
        <v>49500</v>
      </c>
      <c r="J63" s="4">
        <f t="shared" si="18"/>
        <v>0</v>
      </c>
      <c r="K63" s="69">
        <f t="shared" si="19"/>
        <v>0</v>
      </c>
      <c r="M63" s="4">
        <v>0</v>
      </c>
      <c r="N63" s="4">
        <f>G63-M63</f>
        <v>0</v>
      </c>
      <c r="O63" s="69"/>
    </row>
    <row r="64" spans="1:15" x14ac:dyDescent="0.2">
      <c r="A64" s="46" t="s">
        <v>47</v>
      </c>
      <c r="B64" s="5" t="s">
        <v>92</v>
      </c>
      <c r="C64" s="5" t="s">
        <v>62</v>
      </c>
      <c r="D64" s="6">
        <v>4750</v>
      </c>
      <c r="E64" s="7">
        <f t="shared" si="16"/>
        <v>52250</v>
      </c>
      <c r="F64" s="7">
        <v>0</v>
      </c>
      <c r="G64" s="4">
        <f t="shared" si="17"/>
        <v>52250</v>
      </c>
      <c r="I64" s="4">
        <v>52250</v>
      </c>
      <c r="J64" s="4">
        <f t="shared" si="18"/>
        <v>0</v>
      </c>
      <c r="K64" s="69">
        <f t="shared" si="19"/>
        <v>0</v>
      </c>
      <c r="M64" s="4">
        <v>32250</v>
      </c>
      <c r="N64" s="4">
        <f>G64-M64</f>
        <v>20000</v>
      </c>
      <c r="O64" s="69"/>
    </row>
    <row r="65" spans="1:15" x14ac:dyDescent="0.2">
      <c r="A65" s="46" t="s">
        <v>48</v>
      </c>
      <c r="B65" s="5" t="s">
        <v>25</v>
      </c>
      <c r="C65" s="5" t="s">
        <v>178</v>
      </c>
      <c r="D65" s="6">
        <v>12900</v>
      </c>
      <c r="E65" s="7">
        <f t="shared" si="16"/>
        <v>141900</v>
      </c>
      <c r="F65" s="7">
        <v>0</v>
      </c>
      <c r="G65" s="4">
        <f t="shared" si="17"/>
        <v>141900</v>
      </c>
      <c r="I65" s="4">
        <v>132000</v>
      </c>
      <c r="J65" s="4">
        <f t="shared" si="18"/>
        <v>9900</v>
      </c>
      <c r="K65" s="69">
        <f t="shared" si="19"/>
        <v>7.4999999999999997E-2</v>
      </c>
      <c r="M65" s="4">
        <v>132000</v>
      </c>
      <c r="N65" s="4">
        <f>G65-M65</f>
        <v>9900</v>
      </c>
      <c r="O65" s="69"/>
    </row>
    <row r="66" spans="1:15" x14ac:dyDescent="0.2">
      <c r="A66" s="46" t="s">
        <v>49</v>
      </c>
      <c r="B66" s="5" t="s">
        <v>26</v>
      </c>
      <c r="C66" s="5" t="s">
        <v>185</v>
      </c>
      <c r="D66" s="6">
        <v>6000</v>
      </c>
      <c r="E66" s="7">
        <f t="shared" si="16"/>
        <v>66000</v>
      </c>
      <c r="F66" s="7">
        <v>5000</v>
      </c>
      <c r="G66" s="4">
        <f t="shared" si="17"/>
        <v>61000</v>
      </c>
      <c r="I66" s="4">
        <v>33000</v>
      </c>
      <c r="J66" s="4">
        <f t="shared" si="18"/>
        <v>33000</v>
      </c>
      <c r="K66" s="69">
        <f t="shared" si="19"/>
        <v>1</v>
      </c>
      <c r="M66" s="4">
        <v>33000</v>
      </c>
      <c r="N66" s="4">
        <f>G66-M66</f>
        <v>28000</v>
      </c>
      <c r="O66" s="69"/>
    </row>
    <row r="67" spans="1:15" x14ac:dyDescent="0.2">
      <c r="A67" s="46" t="s">
        <v>50</v>
      </c>
      <c r="B67" s="5" t="s">
        <v>53</v>
      </c>
      <c r="C67" s="5" t="s">
        <v>185</v>
      </c>
      <c r="D67" s="6">
        <v>6000</v>
      </c>
      <c r="E67" s="7">
        <f t="shared" si="16"/>
        <v>66000</v>
      </c>
      <c r="F67" s="7">
        <v>0</v>
      </c>
      <c r="G67" s="4">
        <f t="shared" si="17"/>
        <v>66000</v>
      </c>
      <c r="I67" s="4">
        <v>66000</v>
      </c>
      <c r="J67" s="4">
        <f t="shared" si="18"/>
        <v>0</v>
      </c>
      <c r="K67" s="69">
        <f t="shared" si="19"/>
        <v>0</v>
      </c>
      <c r="M67" s="4">
        <v>38500</v>
      </c>
      <c r="N67" s="4">
        <f>G67-M67</f>
        <v>27500</v>
      </c>
      <c r="O67" s="69"/>
    </row>
    <row r="68" spans="1:15" x14ac:dyDescent="0.2">
      <c r="A68" s="46" t="s">
        <v>51</v>
      </c>
      <c r="B68" s="5" t="s">
        <v>27</v>
      </c>
      <c r="C68" s="5" t="s">
        <v>93</v>
      </c>
      <c r="D68" s="6">
        <v>3500</v>
      </c>
      <c r="E68" s="7">
        <f t="shared" si="16"/>
        <v>38500</v>
      </c>
      <c r="F68" s="7">
        <v>0</v>
      </c>
      <c r="G68" s="4">
        <f t="shared" si="17"/>
        <v>38500</v>
      </c>
      <c r="I68" s="4">
        <v>38500</v>
      </c>
      <c r="J68" s="4">
        <f t="shared" si="18"/>
        <v>0</v>
      </c>
      <c r="K68" s="69">
        <f t="shared" si="19"/>
        <v>0</v>
      </c>
      <c r="M68" s="4">
        <v>0</v>
      </c>
      <c r="N68" s="4">
        <f>G68-M68</f>
        <v>38500</v>
      </c>
      <c r="O68" s="69"/>
    </row>
    <row r="69" spans="1:15" x14ac:dyDescent="0.2">
      <c r="A69" s="8"/>
      <c r="B69" s="8" t="s">
        <v>6</v>
      </c>
      <c r="C69" s="8" t="s">
        <v>33</v>
      </c>
      <c r="D69" s="9"/>
      <c r="E69" s="10">
        <f>SUM(E60:E68)</f>
        <v>663850</v>
      </c>
      <c r="F69" s="10">
        <f>SUM(F60:F68)</f>
        <v>285500</v>
      </c>
      <c r="G69" s="10">
        <f t="shared" si="17"/>
        <v>378350</v>
      </c>
      <c r="I69" s="78">
        <v>595650</v>
      </c>
      <c r="J69" s="78">
        <f t="shared" si="18"/>
        <v>68200</v>
      </c>
      <c r="K69" s="79">
        <f t="shared" si="19"/>
        <v>0.11449676823638043</v>
      </c>
      <c r="M69" s="78">
        <v>328150</v>
      </c>
      <c r="N69" s="78">
        <f>G69-M69</f>
        <v>50200</v>
      </c>
      <c r="O69" s="79">
        <f t="shared" ref="O60:O69" si="20">N69/M69</f>
        <v>0.15297882066128296</v>
      </c>
    </row>
    <row r="70" spans="1:15" s="41" customFormat="1" ht="18.75" customHeight="1" x14ac:dyDescent="0.2">
      <c r="A70" s="50" t="s">
        <v>28</v>
      </c>
      <c r="B70" s="51"/>
      <c r="C70" s="52"/>
      <c r="D70" s="39"/>
      <c r="E70" s="40">
        <f>E7+E13+E29+E33+E42+E52+E55+E58+E69</f>
        <v>3948362.2</v>
      </c>
      <c r="F70" s="40">
        <f>F7+F13+F29+F33+F42+F52+F55+F58+F69</f>
        <v>3006273</v>
      </c>
      <c r="G70" s="40">
        <f>E70-F70</f>
        <v>942089.20000000019</v>
      </c>
      <c r="I70" s="40">
        <v>3441361</v>
      </c>
      <c r="J70" s="40">
        <f>E70-I70</f>
        <v>507001.20000000019</v>
      </c>
      <c r="K70" s="74">
        <f>J70/I70</f>
        <v>0.14732578186362902</v>
      </c>
      <c r="M70" s="40">
        <v>891780</v>
      </c>
      <c r="N70" s="40">
        <f>G70-M70</f>
        <v>50309.200000000186</v>
      </c>
      <c r="O70" s="74">
        <f>N70/M70</f>
        <v>5.6414362286662842E-2</v>
      </c>
    </row>
    <row r="71" spans="1:15" x14ac:dyDescent="0.2">
      <c r="A71" s="53"/>
      <c r="B71" s="54"/>
      <c r="C71" s="54"/>
      <c r="D71" s="54"/>
      <c r="E71" s="55"/>
      <c r="F71" s="28"/>
      <c r="G71" s="29">
        <f>G70/67.64</f>
        <v>13927.989355411002</v>
      </c>
      <c r="I71" s="29"/>
      <c r="J71" s="29"/>
      <c r="K71" s="75"/>
      <c r="M71" s="29">
        <v>14406.785137318255</v>
      </c>
      <c r="N71" s="29">
        <f>G71-M71</f>
        <v>-478.7957819072526</v>
      </c>
      <c r="O71" s="75">
        <f>N71/M71</f>
        <v>-3.3234047522997752E-2</v>
      </c>
    </row>
    <row r="72" spans="1:15" s="45" customFormat="1" ht="20.25" customHeight="1" x14ac:dyDescent="0.2">
      <c r="A72" s="42"/>
      <c r="B72" s="42"/>
      <c r="C72" s="42" t="s">
        <v>29</v>
      </c>
      <c r="D72" s="43"/>
      <c r="E72" s="44"/>
      <c r="F72" s="44">
        <f>F70/E70*100</f>
        <v>76.139747260269075</v>
      </c>
      <c r="G72" s="44">
        <f>G70/E70*100</f>
        <v>23.860252739730921</v>
      </c>
      <c r="I72" s="44"/>
      <c r="J72" s="44"/>
      <c r="K72" s="44"/>
      <c r="M72" s="44">
        <v>25.913584770676483</v>
      </c>
      <c r="N72" s="44"/>
      <c r="O72" s="44"/>
    </row>
  </sheetData>
  <mergeCells count="15">
    <mergeCell ref="M1:O1"/>
    <mergeCell ref="I1:K1"/>
    <mergeCell ref="A70:C70"/>
    <mergeCell ref="A71:E71"/>
    <mergeCell ref="A14:G14"/>
    <mergeCell ref="A59:G59"/>
    <mergeCell ref="A1:G1"/>
    <mergeCell ref="A3:G3"/>
    <mergeCell ref="A4:G4"/>
    <mergeCell ref="A8:G8"/>
    <mergeCell ref="A30:G30"/>
    <mergeCell ref="A34:G34"/>
    <mergeCell ref="A43:G43"/>
    <mergeCell ref="A53:G53"/>
    <mergeCell ref="A56:G56"/>
  </mergeCells>
  <phoneticPr fontId="0" type="noConversion"/>
  <printOptions headings="1" gridLines="1"/>
  <pageMargins left="0.74791666666666701" right="0.74791666666666701" top="0.98402777777777795" bottom="0.98402777777777795" header="0.51180555555555596" footer="0.51180555555555596"/>
  <pageSetup scale="75" firstPageNumber="0" orientation="portrait"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4" zoomScale="130" workbookViewId="0">
      <selection activeCell="B12" sqref="B12:B19"/>
    </sheetView>
  </sheetViews>
  <sheetFormatPr defaultRowHeight="12.75" x14ac:dyDescent="0.2"/>
  <cols>
    <col min="1" max="1" width="9.7109375" style="37" customWidth="1"/>
    <col min="2" max="2" width="81.140625" style="33" customWidth="1"/>
    <col min="3" max="16384" width="9.140625" style="33"/>
  </cols>
  <sheetData>
    <row r="1" spans="1:2" ht="18.75" customHeight="1" x14ac:dyDescent="0.2">
      <c r="A1" s="65" t="s">
        <v>140</v>
      </c>
      <c r="B1" s="66"/>
    </row>
    <row r="2" spans="1:2" s="35" customFormat="1" ht="25.5" x14ac:dyDescent="0.2">
      <c r="A2" s="34" t="s">
        <v>125</v>
      </c>
      <c r="B2" s="34" t="s">
        <v>126</v>
      </c>
    </row>
    <row r="3" spans="1:2" ht="63.75" x14ac:dyDescent="0.2">
      <c r="A3" s="38" t="s">
        <v>127</v>
      </c>
      <c r="B3" s="47" t="s">
        <v>181</v>
      </c>
    </row>
    <row r="4" spans="1:2" ht="25.5" x14ac:dyDescent="0.2">
      <c r="A4" s="38" t="s">
        <v>94</v>
      </c>
      <c r="B4" s="36" t="s">
        <v>130</v>
      </c>
    </row>
    <row r="5" spans="1:2" ht="51" x14ac:dyDescent="0.2">
      <c r="A5" s="38" t="s">
        <v>128</v>
      </c>
      <c r="B5" s="36" t="s">
        <v>131</v>
      </c>
    </row>
    <row r="6" spans="1:2" x14ac:dyDescent="0.2">
      <c r="A6" s="38" t="s">
        <v>129</v>
      </c>
      <c r="B6" s="36" t="s">
        <v>132</v>
      </c>
    </row>
    <row r="7" spans="1:2" ht="25.5" x14ac:dyDescent="0.2">
      <c r="A7" s="38" t="s">
        <v>137</v>
      </c>
      <c r="B7" s="47" t="s">
        <v>182</v>
      </c>
    </row>
    <row r="8" spans="1:2" ht="25.5" x14ac:dyDescent="0.2">
      <c r="A8" s="38" t="s">
        <v>98</v>
      </c>
      <c r="B8" s="36" t="s">
        <v>133</v>
      </c>
    </row>
    <row r="9" spans="1:2" x14ac:dyDescent="0.2">
      <c r="A9" s="38" t="s">
        <v>138</v>
      </c>
      <c r="B9" s="36" t="s">
        <v>134</v>
      </c>
    </row>
    <row r="10" spans="1:2" x14ac:dyDescent="0.2">
      <c r="A10" s="38" t="s">
        <v>58</v>
      </c>
      <c r="B10" s="47" t="s">
        <v>132</v>
      </c>
    </row>
    <row r="11" spans="1:2" x14ac:dyDescent="0.2">
      <c r="A11" s="38" t="s">
        <v>139</v>
      </c>
      <c r="B11" s="36" t="s">
        <v>135</v>
      </c>
    </row>
    <row r="12" spans="1:2" x14ac:dyDescent="0.2">
      <c r="A12" s="67" t="s">
        <v>33</v>
      </c>
      <c r="B12" s="68" t="s">
        <v>136</v>
      </c>
    </row>
    <row r="13" spans="1:2" x14ac:dyDescent="0.2">
      <c r="A13" s="67"/>
      <c r="B13" s="68"/>
    </row>
    <row r="14" spans="1:2" x14ac:dyDescent="0.2">
      <c r="A14" s="67"/>
      <c r="B14" s="68"/>
    </row>
    <row r="15" spans="1:2" x14ac:dyDescent="0.2">
      <c r="A15" s="67"/>
      <c r="B15" s="68"/>
    </row>
    <row r="16" spans="1:2" x14ac:dyDescent="0.2">
      <c r="A16" s="67"/>
      <c r="B16" s="68"/>
    </row>
    <row r="17" spans="1:2" x14ac:dyDescent="0.2">
      <c r="A17" s="67"/>
      <c r="B17" s="68"/>
    </row>
    <row r="18" spans="1:2" x14ac:dyDescent="0.2">
      <c r="A18" s="67"/>
      <c r="B18" s="68"/>
    </row>
    <row r="19" spans="1:2" x14ac:dyDescent="0.2">
      <c r="A19" s="67"/>
      <c r="B19" s="68"/>
    </row>
  </sheetData>
  <mergeCells count="3">
    <mergeCell ref="A1:B1"/>
    <mergeCell ref="A12:A19"/>
    <mergeCell ref="B12:B19"/>
  </mergeCells>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6"/>
  <sheetViews>
    <sheetView workbookViewId="0">
      <selection activeCell="C3" sqref="C3"/>
    </sheetView>
  </sheetViews>
  <sheetFormatPr defaultRowHeight="12.75" x14ac:dyDescent="0.2"/>
  <cols>
    <col min="1" max="1" width="13.85546875" bestFit="1" customWidth="1"/>
    <col min="2" max="2" width="15.140625" bestFit="1" customWidth="1"/>
    <col min="3" max="3" width="26.140625" bestFit="1" customWidth="1"/>
  </cols>
  <sheetData>
    <row r="2" spans="1:3" x14ac:dyDescent="0.2">
      <c r="A2" t="s">
        <v>200</v>
      </c>
    </row>
    <row r="3" spans="1:3" x14ac:dyDescent="0.2">
      <c r="A3" s="82" t="s">
        <v>202</v>
      </c>
      <c r="B3" t="s">
        <v>203</v>
      </c>
      <c r="C3" s="85" t="s">
        <v>210</v>
      </c>
    </row>
    <row r="4" spans="1:3" x14ac:dyDescent="0.2">
      <c r="A4" s="83">
        <v>2007</v>
      </c>
      <c r="B4" s="84">
        <v>14000</v>
      </c>
    </row>
    <row r="5" spans="1:3" x14ac:dyDescent="0.2">
      <c r="A5" s="83">
        <v>2008</v>
      </c>
      <c r="B5" s="84">
        <v>36135</v>
      </c>
      <c r="C5" t="s">
        <v>204</v>
      </c>
    </row>
    <row r="6" spans="1:3" x14ac:dyDescent="0.2">
      <c r="A6" s="83">
        <v>2009</v>
      </c>
      <c r="B6" s="84">
        <v>13550</v>
      </c>
    </row>
    <row r="7" spans="1:3" x14ac:dyDescent="0.2">
      <c r="A7" s="83">
        <v>2010</v>
      </c>
      <c r="B7" s="84">
        <v>6500</v>
      </c>
    </row>
    <row r="8" spans="1:3" x14ac:dyDescent="0.2">
      <c r="A8" s="83">
        <v>2011</v>
      </c>
      <c r="B8" s="84">
        <v>6825</v>
      </c>
      <c r="C8" t="s">
        <v>205</v>
      </c>
    </row>
    <row r="9" spans="1:3" x14ac:dyDescent="0.2">
      <c r="A9" s="83">
        <v>2012</v>
      </c>
      <c r="B9" s="84">
        <v>12300</v>
      </c>
      <c r="C9" t="s">
        <v>206</v>
      </c>
    </row>
    <row r="10" spans="1:3" x14ac:dyDescent="0.2">
      <c r="A10" s="83">
        <v>2013</v>
      </c>
      <c r="B10" s="84">
        <v>11633</v>
      </c>
      <c r="C10" t="s">
        <v>207</v>
      </c>
    </row>
    <row r="11" spans="1:3" x14ac:dyDescent="0.2">
      <c r="A11" s="83">
        <v>2014</v>
      </c>
      <c r="B11" s="84">
        <v>13337</v>
      </c>
      <c r="C11" t="s">
        <v>208</v>
      </c>
    </row>
    <row r="12" spans="1:3" x14ac:dyDescent="0.2">
      <c r="A12" s="83">
        <v>2015</v>
      </c>
      <c r="B12" s="84">
        <v>13460</v>
      </c>
      <c r="C12" t="s">
        <v>209</v>
      </c>
    </row>
    <row r="13" spans="1:3" x14ac:dyDescent="0.2">
      <c r="A13" s="83" t="s">
        <v>28</v>
      </c>
      <c r="B13" s="84">
        <v>127740</v>
      </c>
    </row>
    <row r="22" spans="6:8" x14ac:dyDescent="0.2">
      <c r="G22" t="s">
        <v>200</v>
      </c>
      <c r="H22" t="s">
        <v>201</v>
      </c>
    </row>
    <row r="23" spans="6:8" x14ac:dyDescent="0.2">
      <c r="F23" s="80" t="s">
        <v>192</v>
      </c>
      <c r="G23" s="80">
        <v>2015</v>
      </c>
      <c r="H23" s="81">
        <v>13460</v>
      </c>
    </row>
    <row r="24" spans="6:8" x14ac:dyDescent="0.2">
      <c r="F24" s="80" t="s">
        <v>193</v>
      </c>
      <c r="G24" s="80">
        <v>2014</v>
      </c>
      <c r="H24" s="81">
        <v>13337</v>
      </c>
    </row>
    <row r="25" spans="6:8" x14ac:dyDescent="0.2">
      <c r="F25" s="80" t="s">
        <v>193</v>
      </c>
      <c r="G25" s="80">
        <v>2013</v>
      </c>
      <c r="H25" s="81">
        <v>11633</v>
      </c>
    </row>
    <row r="26" spans="6:8" x14ac:dyDescent="0.2">
      <c r="F26" s="80" t="s">
        <v>194</v>
      </c>
      <c r="G26" s="80">
        <v>2012</v>
      </c>
      <c r="H26" s="81">
        <v>12300</v>
      </c>
    </row>
    <row r="27" spans="6:8" x14ac:dyDescent="0.2">
      <c r="F27" s="80" t="s">
        <v>194</v>
      </c>
      <c r="G27" s="80">
        <v>2011</v>
      </c>
      <c r="H27" s="81">
        <v>6825</v>
      </c>
    </row>
    <row r="28" spans="6:8" x14ac:dyDescent="0.2">
      <c r="F28" s="80" t="s">
        <v>195</v>
      </c>
      <c r="G28" s="80">
        <v>2010</v>
      </c>
      <c r="H28" s="81">
        <v>6500</v>
      </c>
    </row>
    <row r="29" spans="6:8" x14ac:dyDescent="0.2">
      <c r="F29" s="80" t="s">
        <v>192</v>
      </c>
      <c r="G29" s="80">
        <v>2009</v>
      </c>
      <c r="H29" s="81">
        <v>6550</v>
      </c>
    </row>
    <row r="30" spans="6:8" x14ac:dyDescent="0.2">
      <c r="F30" s="80" t="s">
        <v>196</v>
      </c>
      <c r="G30" s="80">
        <v>2009</v>
      </c>
      <c r="H30" s="81">
        <v>7000</v>
      </c>
    </row>
    <row r="31" spans="6:8" x14ac:dyDescent="0.2">
      <c r="F31" s="80" t="s">
        <v>195</v>
      </c>
      <c r="G31" s="80">
        <v>2008</v>
      </c>
      <c r="H31" s="81">
        <v>8232</v>
      </c>
    </row>
    <row r="32" spans="6:8" x14ac:dyDescent="0.2">
      <c r="F32" s="80" t="s">
        <v>197</v>
      </c>
      <c r="G32" s="80">
        <v>2008</v>
      </c>
      <c r="H32" s="81">
        <v>10000</v>
      </c>
    </row>
    <row r="33" spans="6:8" x14ac:dyDescent="0.2">
      <c r="F33" s="80" t="s">
        <v>197</v>
      </c>
      <c r="G33" s="80">
        <v>2008</v>
      </c>
      <c r="H33" s="81">
        <v>10903</v>
      </c>
    </row>
    <row r="34" spans="6:8" x14ac:dyDescent="0.2">
      <c r="F34" s="80" t="s">
        <v>198</v>
      </c>
      <c r="G34" s="80">
        <v>2008</v>
      </c>
      <c r="H34" s="81">
        <v>7000</v>
      </c>
    </row>
    <row r="35" spans="6:8" x14ac:dyDescent="0.2">
      <c r="F35" s="80" t="s">
        <v>195</v>
      </c>
      <c r="G35" s="80">
        <v>2007</v>
      </c>
      <c r="H35" s="81">
        <v>5000</v>
      </c>
    </row>
    <row r="36" spans="6:8" x14ac:dyDescent="0.2">
      <c r="F36" s="80" t="s">
        <v>199</v>
      </c>
      <c r="G36" s="80">
        <v>2007</v>
      </c>
      <c r="H36" s="81">
        <v>9000</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Budget analysis</vt:lpstr>
      <vt:lpstr>ASHA Disbursement History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Mahesh Damodaran</cp:lastModifiedBy>
  <cp:lastPrinted>2014-02-23T20:39:20Z</cp:lastPrinted>
  <dcterms:created xsi:type="dcterms:W3CDTF">2008-08-28T05:54:17Z</dcterms:created>
  <dcterms:modified xsi:type="dcterms:W3CDTF">2016-10-23T02:29:33Z</dcterms:modified>
</cp:coreProperties>
</file>