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dbhat\Downloads\"/>
    </mc:Choice>
  </mc:AlternateContent>
  <xr:revisionPtr revIDLastSave="0" documentId="13_ncr:1_{9FD172C7-0D2C-4C64-BF1E-0BF1602AEB73}" xr6:coauthVersionLast="44" xr6:coauthVersionMax="44" xr10:uidLastSave="{00000000-0000-0000-0000-000000000000}"/>
  <bookViews>
    <workbookView xWindow="-120" yWindow="-120" windowWidth="29040" windowHeight="1599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 r="I6" i="1"/>
  <c r="H8" i="1"/>
  <c r="D67" i="1" l="1"/>
  <c r="D56" i="1"/>
  <c r="C43" i="1"/>
  <c r="E38" i="1"/>
  <c r="E37" i="1"/>
  <c r="E47" i="1"/>
  <c r="E46" i="1"/>
  <c r="D42" i="1"/>
  <c r="D40" i="1"/>
  <c r="E40" i="1" s="1"/>
  <c r="D39" i="1"/>
  <c r="D17" i="1"/>
  <c r="D7" i="1"/>
  <c r="H72" i="1" l="1"/>
  <c r="E50" i="1" l="1"/>
  <c r="F50" i="1" s="1"/>
  <c r="E70" i="1" l="1"/>
  <c r="E69" i="1"/>
  <c r="E68" i="1"/>
  <c r="E53" i="1"/>
  <c r="E52" i="1"/>
  <c r="E51" i="1"/>
  <c r="E49" i="1"/>
  <c r="E48" i="1"/>
  <c r="E41" i="1"/>
  <c r="E29" i="1"/>
  <c r="E10" i="1"/>
  <c r="G10" i="1" s="1"/>
  <c r="I10" i="1" s="1"/>
  <c r="E42" i="1" l="1"/>
  <c r="E39" i="1"/>
  <c r="E27" i="1"/>
  <c r="E26" i="1"/>
  <c r="E22" i="1"/>
  <c r="E21" i="1"/>
  <c r="D18" i="1"/>
  <c r="E25" i="1"/>
  <c r="E24" i="1"/>
  <c r="E23" i="1"/>
  <c r="E19" i="1"/>
  <c r="E16" i="1"/>
  <c r="E7" i="1"/>
  <c r="E11" i="1" l="1"/>
  <c r="G11" i="1" s="1"/>
  <c r="I11" i="1" l="1"/>
  <c r="E6" i="1"/>
  <c r="F6" i="1" s="1"/>
  <c r="F39" i="1" l="1"/>
  <c r="E28" i="1"/>
  <c r="F28" i="1" s="1"/>
  <c r="F49" i="1" l="1"/>
  <c r="F47" i="1"/>
  <c r="F46" i="1"/>
  <c r="F33" i="1"/>
  <c r="C32" i="1"/>
  <c r="E20" i="1"/>
  <c r="F7" i="1"/>
  <c r="G7" i="1" s="1"/>
  <c r="I7" i="1" s="1"/>
  <c r="F30" i="1" l="1"/>
  <c r="F51" i="1" l="1"/>
  <c r="F38" i="1"/>
  <c r="F37" i="1"/>
  <c r="E32" i="1"/>
  <c r="E18" i="1"/>
  <c r="E17" i="1"/>
  <c r="F8" i="1"/>
  <c r="F32" i="1" l="1"/>
  <c r="F35" i="1" s="1"/>
  <c r="E35" i="1"/>
  <c r="F54" i="1" l="1"/>
  <c r="E12" i="1"/>
  <c r="E56" i="1"/>
  <c r="E54" i="1"/>
  <c r="E65" i="1"/>
  <c r="G65" i="1" s="1"/>
  <c r="E64" i="1"/>
  <c r="F64" i="1" s="1"/>
  <c r="E63" i="1"/>
  <c r="G63" i="1" s="1"/>
  <c r="E62" i="1"/>
  <c r="F62" i="1" s="1"/>
  <c r="E13" i="1"/>
  <c r="E5" i="1"/>
  <c r="E59" i="1"/>
  <c r="E43" i="1"/>
  <c r="F43" i="1" s="1"/>
  <c r="E66" i="1"/>
  <c r="G66" i="1" s="1"/>
  <c r="E67" i="1"/>
  <c r="G67" i="1" s="1"/>
  <c r="G69" i="1"/>
  <c r="I5" i="1" l="1"/>
  <c r="G5" i="1"/>
  <c r="G54" i="1"/>
  <c r="I54" i="1" s="1"/>
  <c r="J54" i="1" s="1"/>
  <c r="G62" i="1"/>
  <c r="F70" i="1"/>
  <c r="G70" i="1" s="1"/>
  <c r="E57" i="1"/>
  <c r="F56" i="1"/>
  <c r="F57" i="1" s="1"/>
  <c r="E60" i="1"/>
  <c r="F59" i="1"/>
  <c r="F60" i="1" s="1"/>
  <c r="F12" i="1"/>
  <c r="F14" i="1" s="1"/>
  <c r="E44" i="1"/>
  <c r="F42" i="1"/>
  <c r="F44" i="1" s="1"/>
  <c r="G64" i="1"/>
  <c r="G35" i="1"/>
  <c r="E71" i="1"/>
  <c r="E8" i="1"/>
  <c r="G8" i="1" s="1"/>
  <c r="E30" i="1"/>
  <c r="G30" i="1" s="1"/>
  <c r="I30" i="1" s="1"/>
  <c r="J30" i="1" s="1"/>
  <c r="G68" i="1"/>
  <c r="E14" i="1"/>
  <c r="G12" i="1" l="1"/>
  <c r="G14" i="1" s="1"/>
  <c r="I14" i="1" s="1"/>
  <c r="J14" i="1" s="1"/>
  <c r="I8" i="1"/>
  <c r="J8" i="1" s="1"/>
  <c r="G60" i="1"/>
  <c r="I60" i="1" s="1"/>
  <c r="G56" i="1"/>
  <c r="F71" i="1"/>
  <c r="F72" i="1" s="1"/>
  <c r="G57" i="1"/>
  <c r="I57" i="1" s="1"/>
  <c r="G59" i="1"/>
  <c r="G44" i="1"/>
  <c r="I44" i="1" s="1"/>
  <c r="J44" i="1" s="1"/>
  <c r="E72" i="1"/>
  <c r="G71" i="1" l="1"/>
  <c r="I71" i="1" s="1"/>
  <c r="J71" i="1" s="1"/>
  <c r="F74" i="1"/>
  <c r="G72" i="1"/>
  <c r="I72" i="1" l="1"/>
  <c r="J72" i="1" s="1"/>
  <c r="G73" i="1"/>
  <c r="I73" i="1" s="1"/>
  <c r="J73" i="1" s="1"/>
  <c r="G74" i="1"/>
</calcChain>
</file>

<file path=xl/sharedStrings.xml><?xml version="1.0" encoding="utf-8"?>
<sst xmlns="http://schemas.openxmlformats.org/spreadsheetml/2006/main" count="208" uniqueCount="192">
  <si>
    <t>PARTICULARS</t>
  </si>
  <si>
    <t>AMOUNT</t>
  </si>
  <si>
    <t>RECURRING EXPENSES</t>
  </si>
  <si>
    <t>Food expenses &amp; Nutritional support</t>
  </si>
  <si>
    <t>Medicine at care Home</t>
  </si>
  <si>
    <t>Total</t>
  </si>
  <si>
    <t>C1</t>
  </si>
  <si>
    <t>Electricity charges</t>
  </si>
  <si>
    <t>Water charges</t>
  </si>
  <si>
    <t>E 1</t>
  </si>
  <si>
    <t>E 2</t>
  </si>
  <si>
    <t>F</t>
  </si>
  <si>
    <t>General - Hygiene care expenses.</t>
  </si>
  <si>
    <t>F 1</t>
  </si>
  <si>
    <t>F 2</t>
  </si>
  <si>
    <t>F 3</t>
  </si>
  <si>
    <t>F 4</t>
  </si>
  <si>
    <t>F 5</t>
  </si>
  <si>
    <t>F 6</t>
  </si>
  <si>
    <t>F 7</t>
  </si>
  <si>
    <t>G</t>
  </si>
  <si>
    <t>One part time Doctor</t>
  </si>
  <si>
    <t>Social Worker full time</t>
  </si>
  <si>
    <t>Teachers</t>
  </si>
  <si>
    <t>Cook</t>
  </si>
  <si>
    <t>Accountant (part time)</t>
  </si>
  <si>
    <t>Grand Total</t>
  </si>
  <si>
    <t>Contribution %</t>
  </si>
  <si>
    <t>Expenses / month</t>
  </si>
  <si>
    <t>Expenses / year</t>
  </si>
  <si>
    <t>ART Access for the HIV kids</t>
  </si>
  <si>
    <t>I</t>
  </si>
  <si>
    <t>Kids extended family/ family monthly visits</t>
  </si>
  <si>
    <t>No</t>
  </si>
  <si>
    <t>General building maintenance, Electrical appliances, motor, fan, water tapes repairs, painting black boards  etc</t>
  </si>
  <si>
    <t>C4</t>
  </si>
  <si>
    <t>Stationaries for administration, Photocopying, Prining expenses</t>
  </si>
  <si>
    <t xml:space="preserve">A package of Color pens/pencils /water colors @ Rs.75/year /student </t>
  </si>
  <si>
    <t>H</t>
  </si>
  <si>
    <t>I 1</t>
  </si>
  <si>
    <t>I 2</t>
  </si>
  <si>
    <t>I 3</t>
  </si>
  <si>
    <t>I 4</t>
  </si>
  <si>
    <t>I 5</t>
  </si>
  <si>
    <t>I 6</t>
  </si>
  <si>
    <t>I 7</t>
  </si>
  <si>
    <t>I 8</t>
  </si>
  <si>
    <t>I 9</t>
  </si>
  <si>
    <t>Contribution from HUT, other sources,community and sponsors (INR)</t>
  </si>
  <si>
    <t>Helpers/Janitors</t>
  </si>
  <si>
    <t>A</t>
  </si>
  <si>
    <t>B</t>
  </si>
  <si>
    <t>C</t>
  </si>
  <si>
    <t>D</t>
  </si>
  <si>
    <t>E</t>
  </si>
  <si>
    <t>Nurses  part time</t>
  </si>
  <si>
    <t>pen</t>
  </si>
  <si>
    <t>Erasers   - one/2 months /child @Rs5/eraser</t>
  </si>
  <si>
    <t>A 4 sheets</t>
  </si>
  <si>
    <t>Scale</t>
  </si>
  <si>
    <t>Geometry box</t>
  </si>
  <si>
    <t>GAMES MATERIALS FOR THE CHILDREN</t>
  </si>
  <si>
    <t>Cricket bat and accessories, ring ball, net etc.,</t>
  </si>
  <si>
    <t>Infection control measures</t>
  </si>
  <si>
    <t>Phenol</t>
  </si>
  <si>
    <t>1.5 litres per day</t>
  </si>
  <si>
    <t>Acid</t>
  </si>
  <si>
    <t>2 litres per week</t>
  </si>
  <si>
    <t>Harpic</t>
  </si>
  <si>
    <t>3 lires per week</t>
  </si>
  <si>
    <t>Cleaning brush</t>
  </si>
  <si>
    <t>10 brushes *3 per year</t>
  </si>
  <si>
    <t>Bleaching powder</t>
  </si>
  <si>
    <t>10 kg per week</t>
  </si>
  <si>
    <t>Cleaning mop</t>
  </si>
  <si>
    <t>20 *6 per year</t>
  </si>
  <si>
    <t>Broomstick</t>
  </si>
  <si>
    <t>F 8</t>
  </si>
  <si>
    <t>Roof broom stick</t>
  </si>
  <si>
    <t>10 *6 per year</t>
  </si>
  <si>
    <t>G1</t>
  </si>
  <si>
    <t>Travel charges for students</t>
  </si>
  <si>
    <t>Travel to house - a separate sheet explaining the location and bus fare is attached</t>
  </si>
  <si>
    <t>Head master cum warden</t>
  </si>
  <si>
    <t>B1</t>
  </si>
  <si>
    <t xml:space="preserve">B 2 </t>
  </si>
  <si>
    <t>B 3</t>
  </si>
  <si>
    <t>B4</t>
  </si>
  <si>
    <t>C2</t>
  </si>
  <si>
    <t>C5</t>
  </si>
  <si>
    <t>C6</t>
  </si>
  <si>
    <t>C7</t>
  </si>
  <si>
    <t>C8</t>
  </si>
  <si>
    <t>C9</t>
  </si>
  <si>
    <t>C10</t>
  </si>
  <si>
    <t>C12</t>
  </si>
  <si>
    <t>D 1</t>
  </si>
  <si>
    <t>D 2</t>
  </si>
  <si>
    <t>A 1</t>
  </si>
  <si>
    <t>CARE AT HOME</t>
  </si>
  <si>
    <t>MAINTENANCE</t>
  </si>
  <si>
    <t>EDUCATIONAL NEEDS</t>
  </si>
  <si>
    <t>C3</t>
  </si>
  <si>
    <t>C11</t>
  </si>
  <si>
    <t>C13</t>
  </si>
  <si>
    <t>C14</t>
  </si>
  <si>
    <t>E 3</t>
  </si>
  <si>
    <t>E 4</t>
  </si>
  <si>
    <t>E 5</t>
  </si>
  <si>
    <t>E 6</t>
  </si>
  <si>
    <t>E 7</t>
  </si>
  <si>
    <t xml:space="preserve"> Salary</t>
  </si>
  <si>
    <t>We have worked out the requirements for an year based on our previous years expenditure</t>
  </si>
  <si>
    <t>Self explanatory</t>
  </si>
  <si>
    <t>school bag and pencil box @ Rs. 305</t>
  </si>
  <si>
    <t>pencil for students  -2pencil /child for a month @ Rs. 4.5/pencil</t>
  </si>
  <si>
    <t>Exam papers = 20 sheets/ student  (4 sheets/student /subject * 5 subjects) @ Rs. 0.60/sheet x 4 exams</t>
  </si>
  <si>
    <t>a package of  craft papers, scissors, gum etc for craft work @ Rs 132/year</t>
  </si>
  <si>
    <t>Balls 40@ Rs. 27 each</t>
  </si>
  <si>
    <t xml:space="preserve">Manager/Counsellor </t>
  </si>
  <si>
    <t>H1</t>
  </si>
  <si>
    <t>in USD $</t>
  </si>
  <si>
    <t>Grant requested from Asha (INR)</t>
  </si>
  <si>
    <t>As per details enclosed
(in food expenses detailed. Separate Excel sheet)</t>
  </si>
  <si>
    <t>Rs 198*1 per month</t>
  </si>
  <si>
    <t>Washing soap @ Rs.39.5/student/month</t>
  </si>
  <si>
    <t>A2</t>
  </si>
  <si>
    <t>A list of our local sponsors can be found at  (under village sponsors)</t>
  </si>
  <si>
    <t>https://www.hutindia.org/about-us/supporters/</t>
  </si>
  <si>
    <t>Budget analysis</t>
  </si>
  <si>
    <t>A 3</t>
  </si>
  <si>
    <r>
      <t xml:space="preserve">*Fruits, Raw vegetables, Chicken protein supplements, (Green Peas, Green gram), milk </t>
    </r>
    <r>
      <rPr>
        <b/>
        <i/>
        <sz val="10"/>
        <color theme="1" tint="0.249977111117893"/>
        <rFont val="Calibri"/>
        <family val="2"/>
      </rPr>
      <t>(*New this year)</t>
    </r>
  </si>
  <si>
    <t>Rs 45643 per month</t>
  </si>
  <si>
    <t>Rs 6*2*66</t>
  </si>
  <si>
    <t>Rs 12 x 66x2 per year</t>
  </si>
  <si>
    <t>Rs 82*54 per year</t>
  </si>
  <si>
    <t xml:space="preserve">Note books - 15 note books/child (on an average)@ Rs.14.20/note  </t>
  </si>
  <si>
    <t>drawing sheets - 10 sheets /child/ month @ 0. 80 paisa /sheet</t>
  </si>
  <si>
    <t>Internet Wifi (Rs 499 jIO Wify per month) @ 10 GB usage per month</t>
  </si>
  <si>
    <t>Chalk piece (Rs 432 per month)</t>
  </si>
  <si>
    <t>D3</t>
  </si>
  <si>
    <t>Volley ball and foot ball</t>
  </si>
  <si>
    <t>Rs 432 x 11 months</t>
  </si>
  <si>
    <t>Rs.499*11</t>
  </si>
  <si>
    <t>We included raw veggie, chicken, protein supplements, fruits in the menu with the support from a Medical students humanitarian organisation from France for the children this year. As this is mandatory for the propoer growth and cognitive development of the chidlren, we are implementing this. (milk 6 litres per meal / 2 times a day; raw vegetables 4 INR / day / child / 5 times a week; Chiecken Rs 145/ kg*7 kg per day* 2 times per week*52 weeks; proten legumes @ 7 INR / child / 2 times per week; Eggs @ 6 INR / child / 3 times per week</t>
  </si>
  <si>
    <t>Maintenance have been supported by a volunteers from France. So this has been excluded from the request</t>
  </si>
  <si>
    <t xml:space="preserve">HUT with its presence ion the commmunity for so long has been successful in getting varied supports that leverage the fund supported by ASHA. </t>
  </si>
  <si>
    <t>Last year's ASHA Support (INR) 2017-18</t>
  </si>
  <si>
    <t>Increase in support bet the two years</t>
  </si>
  <si>
    <t>% of increase</t>
  </si>
  <si>
    <t>Overall percentage increase since last year</t>
  </si>
  <si>
    <t>BUDGET FOR ASHA_HUT SCHOOL FOR 115 CHILDREN - (academic year) 2019-20</t>
  </si>
  <si>
    <t>Rs. 63 x 115 heads x 12 months</t>
  </si>
  <si>
    <t>Rs 5204 X 12 months</t>
  </si>
  <si>
    <t>Rs.5245 x 12 months</t>
  </si>
  <si>
    <t>Rs 1425 x 12 months</t>
  </si>
  <si>
    <t>Rs.310*115</t>
  </si>
  <si>
    <t>Rs.4.5*2* 115</t>
  </si>
  <si>
    <t xml:space="preserve">Rs.5*115 / once in 2 months </t>
  </si>
  <si>
    <t>Rs 132*115</t>
  </si>
  <si>
    <t>Rs .6x20x4x115</t>
  </si>
  <si>
    <t>Rs.75*115</t>
  </si>
  <si>
    <t>Rs.14.20*18*115 students</t>
  </si>
  <si>
    <t>Rs.0.80*10*115*12</t>
  </si>
  <si>
    <t>2*22*115 children</t>
  </si>
  <si>
    <t>24* 115 children*12</t>
  </si>
  <si>
    <t>19* 115 children*12</t>
  </si>
  <si>
    <t>39.5*115 children</t>
  </si>
  <si>
    <t>2*98* 115 children</t>
  </si>
  <si>
    <t>Tooth brush@ Rs 22/once in six months *115</t>
  </si>
  <si>
    <t>Footwear @ 98 once every six months *115</t>
  </si>
  <si>
    <t>Paste @ Rs. 24/month*115</t>
  </si>
  <si>
    <t>Soap @ Rs.19/month *115</t>
  </si>
  <si>
    <t>Hair oil @614/month</t>
  </si>
  <si>
    <t>Rs.614/ month</t>
  </si>
  <si>
    <t>Hair cut @ Rs 60 per student/once every 3 months/68 boys</t>
  </si>
  <si>
    <t>Rs 35*24*42 kids</t>
  </si>
  <si>
    <t>10000 x12</t>
  </si>
  <si>
    <t>5500 x1 x12</t>
  </si>
  <si>
    <t>9800 x 1 x 12</t>
  </si>
  <si>
    <t>5500 x 1 x 11</t>
  </si>
  <si>
    <t>7000 x 1 x 11</t>
  </si>
  <si>
    <t>5250 x 3 x 11</t>
  </si>
  <si>
    <t>3500 x 2 x 12</t>
  </si>
  <si>
    <t>5000x1x12</t>
  </si>
  <si>
    <t>Rs. 5687 x 12</t>
  </si>
  <si>
    <r>
      <t>Food will include six servings of cereals, pulses and milk in a planned nutritional way. High protein diet is mandatory for the HIV infected children. This year HUt is bearing the maximum cost of the food upto 23.45 lakh INR as we have been very successful in mobilising</t>
    </r>
    <r>
      <rPr>
        <b/>
        <i/>
        <sz val="10"/>
        <color theme="1" tint="0.249977111117893"/>
        <rFont val="Corbel"/>
        <family val="2"/>
      </rPr>
      <t xml:space="preserve"> in kind donations</t>
    </r>
    <r>
      <rPr>
        <sz val="10"/>
        <color theme="1" tint="0.249977111117893"/>
        <rFont val="Corbel"/>
        <family val="2"/>
      </rPr>
      <t xml:space="preserve"> for the school from the community, individual donors and other sponsors which contribute to the large sum from other sources.  </t>
    </r>
    <r>
      <rPr>
        <b/>
        <i/>
        <sz val="10"/>
        <color theme="1" tint="0.249977111117893"/>
        <rFont val="Corbel"/>
        <family val="2"/>
      </rPr>
      <t xml:space="preserve">A list of our local sponsors can be found at  (under village sponsors) </t>
    </r>
    <r>
      <rPr>
        <b/>
        <i/>
        <sz val="10"/>
        <color rgb="FF00B0F0"/>
        <rFont val="Corbel"/>
        <family val="2"/>
      </rPr>
      <t>https://www.hutindia.org/about-us/supporters/.</t>
    </r>
    <r>
      <rPr>
        <b/>
        <i/>
        <sz val="10"/>
        <color theme="1" tint="0.249977111117893"/>
        <rFont val="Corbel"/>
        <family val="2"/>
      </rPr>
      <t xml:space="preserve">  </t>
    </r>
    <r>
      <rPr>
        <sz val="10"/>
        <color theme="1" tint="0.249977111117893"/>
        <rFont val="Corbel"/>
        <family val="2"/>
      </rPr>
      <t>Also we have mobilsed from some other sources for a routine fortification with raw  fruits and vegetables for the chidlren</t>
    </r>
  </si>
  <si>
    <t>Lions Club permabalur and the medical school France have consented to meet with part of the medical costs.</t>
  </si>
  <si>
    <t xml:space="preserve">This year we are also facing the worst and severe drought. We  are purchasing water from outward sources by Lorries and the 50% of the need of water is met by this way only.  </t>
  </si>
  <si>
    <t>HUT will meet the cost of the part time doctor, staff nurse, Accountant and the manager/counselor from its resources. These staff will make periodic check ups and counselling. Also the medical team will attend to  emergencies arising for the kids due to any illness.</t>
  </si>
  <si>
    <t>Percentage increase in $</t>
  </si>
  <si>
    <t>Percentage increase in INR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</si>
</sst>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0"/>
      <name val="Arial"/>
      <family val="2"/>
    </font>
    <font>
      <sz val="10"/>
      <name val="Arial"/>
      <family val="2"/>
    </font>
    <font>
      <b/>
      <sz val="10"/>
      <name val="Calibri"/>
      <family val="2"/>
    </font>
    <font>
      <sz val="10"/>
      <name val="Calibri"/>
      <family val="2"/>
    </font>
    <font>
      <sz val="10"/>
      <color theme="1" tint="0.249977111117893"/>
      <name val="Calibri"/>
      <family val="2"/>
    </font>
    <font>
      <b/>
      <sz val="10"/>
      <color theme="1" tint="0.249977111117893"/>
      <name val="Calibri"/>
      <family val="2"/>
    </font>
    <font>
      <b/>
      <sz val="10"/>
      <color theme="0"/>
      <name val="Calibri"/>
      <family val="2"/>
    </font>
    <font>
      <sz val="10"/>
      <color theme="0"/>
      <name val="Calibri"/>
      <family val="2"/>
    </font>
    <font>
      <sz val="10"/>
      <color theme="1" tint="0.249977111117893"/>
      <name val="Corbel"/>
      <family val="2"/>
    </font>
    <font>
      <b/>
      <sz val="11"/>
      <color rgb="FFFF0000"/>
      <name val="Calibri"/>
      <family val="2"/>
    </font>
    <font>
      <b/>
      <sz val="14"/>
      <color rgb="FFFF0000"/>
      <name val="Calibri"/>
      <family val="2"/>
    </font>
    <font>
      <b/>
      <sz val="14"/>
      <color theme="0"/>
      <name val="Century Gothic"/>
      <family val="2"/>
    </font>
    <font>
      <b/>
      <i/>
      <sz val="10"/>
      <color theme="1" tint="0.249977111117893"/>
      <name val="Calibri"/>
      <family val="2"/>
    </font>
    <font>
      <b/>
      <i/>
      <sz val="10"/>
      <color theme="1" tint="0.249977111117893"/>
      <name val="Corbel"/>
      <family val="2"/>
    </font>
    <font>
      <u/>
      <sz val="10"/>
      <color theme="10"/>
      <name val="Arial"/>
      <family val="2"/>
    </font>
    <font>
      <b/>
      <i/>
      <sz val="10"/>
      <color rgb="FF00B0F0"/>
      <name val="Corbel"/>
      <family val="2"/>
    </font>
    <font>
      <i/>
      <sz val="10"/>
      <color theme="1" tint="0.249977111117893"/>
      <name val="Corbel"/>
      <family val="2"/>
    </font>
    <font>
      <sz val="12"/>
      <color rgb="FFFF0000"/>
      <name val="Calibri"/>
      <family val="2"/>
    </font>
    <font>
      <sz val="12"/>
      <color theme="1" tint="0.249977111117893"/>
      <name val="Calibri"/>
      <family val="2"/>
    </font>
    <font>
      <b/>
      <sz val="12"/>
      <color theme="0"/>
      <name val="Calibri"/>
      <family val="2"/>
    </font>
  </fonts>
  <fills count="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97">
    <xf numFmtId="0" fontId="0" fillId="0" borderId="0" xfId="0"/>
    <xf numFmtId="0" fontId="4" fillId="0" borderId="0" xfId="0" applyFont="1" applyFill="1" applyAlignment="1">
      <alignmen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5" fillId="0" borderId="0" xfId="0" applyFont="1" applyFill="1" applyAlignment="1">
      <alignment vertical="center" wrapText="1"/>
    </xf>
    <xf numFmtId="0" fontId="4" fillId="0" borderId="0" xfId="0" applyFont="1" applyFill="1" applyAlignment="1">
      <alignment horizontal="right" vertical="center" wrapText="1"/>
    </xf>
    <xf numFmtId="0" fontId="4" fillId="2" borderId="0" xfId="0" applyFont="1" applyFill="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4" fontId="6" fillId="3"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4" fontId="7" fillId="3" borderId="1" xfId="0" applyNumberFormat="1" applyFont="1" applyFill="1" applyBorder="1" applyAlignment="1">
      <alignment horizontal="righ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NumberFormat="1" applyFont="1" applyFill="1" applyBorder="1" applyAlignment="1">
      <alignment horizontal="right" vertical="center" wrapText="1"/>
    </xf>
    <xf numFmtId="4" fontId="3" fillId="4" borderId="1" xfId="0" applyNumberFormat="1" applyFont="1" applyFill="1" applyBorder="1" applyAlignment="1">
      <alignment horizontal="right" vertical="center" wrapText="1"/>
    </xf>
    <xf numFmtId="0" fontId="3" fillId="4" borderId="0" xfId="0" applyFont="1" applyFill="1" applyAlignment="1">
      <alignment vertical="center" wrapText="1"/>
    </xf>
    <xf numFmtId="0" fontId="6" fillId="3" borderId="1" xfId="0" applyNumberFormat="1" applyFont="1" applyFill="1" applyBorder="1" applyAlignment="1">
      <alignment horizontal="right"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0" xfId="0" applyNumberFormat="1" applyFont="1" applyFill="1" applyAlignment="1">
      <alignment horizontal="right"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5"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4" fontId="3" fillId="0" borderId="1" xfId="0" applyNumberFormat="1" applyFont="1" applyFill="1" applyBorder="1" applyAlignment="1">
      <alignment horizontal="right" vertical="center" wrapText="1"/>
    </xf>
    <xf numFmtId="4" fontId="3" fillId="0" borderId="0" xfId="0" applyNumberFormat="1" applyFont="1" applyFill="1" applyAlignment="1">
      <alignment horizontal="right" vertical="center" wrapText="1"/>
    </xf>
    <xf numFmtId="4" fontId="5" fillId="5" borderId="1" xfId="0" applyNumberFormat="1" applyFont="1" applyFill="1" applyBorder="1" applyAlignment="1">
      <alignment horizontal="right" vertical="center" wrapText="1"/>
    </xf>
    <xf numFmtId="4" fontId="4" fillId="5" borderId="1" xfId="0" applyNumberFormat="1" applyFont="1" applyFill="1" applyBorder="1" applyAlignment="1">
      <alignment horizontal="right" vertical="center" wrapText="1"/>
    </xf>
    <xf numFmtId="4" fontId="2" fillId="5" borderId="1" xfId="0" applyNumberFormat="1" applyFont="1" applyFill="1" applyBorder="1" applyAlignment="1">
      <alignment horizontal="right" vertical="center" wrapText="1"/>
    </xf>
    <xf numFmtId="0" fontId="9" fillId="5" borderId="1" xfId="0" applyFont="1" applyFill="1" applyBorder="1" applyAlignment="1">
      <alignment horizontal="right" vertical="center" wrapText="1"/>
    </xf>
    <xf numFmtId="4" fontId="9" fillId="5" borderId="1" xfId="0" applyNumberFormat="1" applyFont="1" applyFill="1" applyBorder="1" applyAlignment="1">
      <alignment horizontal="right" vertical="center" wrapText="1"/>
    </xf>
    <xf numFmtId="4" fontId="5" fillId="5" borderId="2" xfId="0" applyNumberFormat="1" applyFont="1" applyFill="1" applyBorder="1" applyAlignment="1">
      <alignment horizontal="right" vertical="center" wrapText="1"/>
    </xf>
    <xf numFmtId="164" fontId="9" fillId="5" borderId="1" xfId="0" applyNumberFormat="1" applyFont="1" applyFill="1" applyBorder="1" applyAlignment="1">
      <alignment horizontal="right" vertical="center" wrapText="1"/>
    </xf>
    <xf numFmtId="9" fontId="10" fillId="5" borderId="1" xfId="3" applyFont="1" applyFill="1" applyBorder="1" applyAlignment="1">
      <alignment horizontal="right" vertical="center" wrapText="1"/>
    </xf>
    <xf numFmtId="4" fontId="2" fillId="6" borderId="1" xfId="0" applyNumberFormat="1" applyFont="1" applyFill="1" applyBorder="1" applyAlignment="1">
      <alignment horizontal="right" vertical="center" wrapText="1"/>
    </xf>
    <xf numFmtId="4" fontId="4" fillId="6" borderId="1" xfId="0" applyNumberFormat="1" applyFont="1" applyFill="1" applyBorder="1" applyAlignment="1">
      <alignment horizontal="right" vertical="center" wrapText="1"/>
    </xf>
    <xf numFmtId="0" fontId="4" fillId="6" borderId="1" xfId="0" applyFont="1" applyFill="1" applyBorder="1" applyAlignment="1">
      <alignment horizontal="right" vertical="center" wrapText="1"/>
    </xf>
    <xf numFmtId="0" fontId="4"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8" fillId="0" borderId="1" xfId="2" applyFont="1" applyBorder="1" applyAlignment="1">
      <alignment horizontal="left" vertical="center" wrapText="1"/>
    </xf>
    <xf numFmtId="0" fontId="16" fillId="6" borderId="1" xfId="2"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4"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4" fontId="9" fillId="0" borderId="1" xfId="0" applyNumberFormat="1" applyFont="1" applyFill="1" applyBorder="1" applyAlignment="1">
      <alignment horizontal="left" vertical="center" wrapText="1"/>
    </xf>
    <xf numFmtId="4" fontId="3" fillId="0" borderId="6"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4" fontId="3" fillId="0" borderId="7" xfId="0" applyNumberFormat="1" applyFont="1" applyFill="1" applyBorder="1" applyAlignment="1">
      <alignment horizontal="right" vertical="center" wrapText="1"/>
    </xf>
    <xf numFmtId="4" fontId="2" fillId="7" borderId="1" xfId="0" applyNumberFormat="1" applyFont="1" applyFill="1" applyBorder="1" applyAlignment="1">
      <alignment horizontal="right" vertical="center" wrapText="1"/>
    </xf>
    <xf numFmtId="0" fontId="5" fillId="7" borderId="2" xfId="0" applyFont="1" applyFill="1" applyBorder="1" applyAlignment="1">
      <alignment horizontal="left" vertical="center" wrapText="1"/>
    </xf>
    <xf numFmtId="4" fontId="2" fillId="3"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4" fontId="19" fillId="8" borderId="1" xfId="0" applyNumberFormat="1" applyFont="1" applyFill="1" applyBorder="1" applyAlignment="1">
      <alignment horizontal="right" vertical="center" wrapText="1"/>
    </xf>
    <xf numFmtId="0" fontId="14" fillId="0" borderId="1" xfId="4"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10" fillId="5" borderId="3"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5" borderId="2" xfId="0" applyFont="1" applyFill="1" applyBorder="1" applyAlignment="1">
      <alignment horizontal="right"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0" fontId="4" fillId="5" borderId="2" xfId="0" applyFont="1" applyFill="1" applyBorder="1" applyAlignment="1">
      <alignment vertical="center" wrapText="1"/>
    </xf>
    <xf numFmtId="9" fontId="10" fillId="5" borderId="3" xfId="3" applyFont="1" applyFill="1" applyBorder="1" applyAlignment="1">
      <alignment horizontal="right" vertical="center" wrapText="1"/>
    </xf>
    <xf numFmtId="9" fontId="10" fillId="5" borderId="2" xfId="3" applyFont="1" applyFill="1" applyBorder="1" applyAlignment="1">
      <alignment horizontal="right"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cellXfs>
  <cellStyles count="5">
    <cellStyle name="Hyperlink" xfId="4" builtinId="8"/>
    <cellStyle name="Normal" xfId="0" builtinId="0"/>
    <cellStyle name="Normal 2" xfId="1" xr:uid="{00000000-0005-0000-0000-000002000000}"/>
    <cellStyle name="Normal_Budget extension analysis 1" xfId="2" xr:uid="{00000000-0005-0000-0000-000003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tindia.org/about-us/suppor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zoomScale="115" zoomScaleNormal="115" workbookViewId="0">
      <pane ySplit="2" topLeftCell="A45" activePane="bottomLeft" state="frozen"/>
      <selection pane="bottomLeft" activeCell="K5" sqref="K5"/>
    </sheetView>
  </sheetViews>
  <sheetFormatPr defaultRowHeight="12.75" x14ac:dyDescent="0.2"/>
  <cols>
    <col min="1" max="1" width="4" style="26" bestFit="1" customWidth="1"/>
    <col min="2" max="2" width="38.140625" style="27" bestFit="1" customWidth="1"/>
    <col min="3" max="3" width="19.5703125" style="27" bestFit="1" customWidth="1"/>
    <col min="4" max="4" width="9.42578125" style="12" bestFit="1" customWidth="1"/>
    <col min="5" max="5" width="13.42578125" style="28" bestFit="1" customWidth="1"/>
    <col min="6" max="6" width="16.28515625" style="28" bestFit="1" customWidth="1"/>
    <col min="7" max="7" width="14" style="35" bestFit="1" customWidth="1"/>
    <col min="8" max="10" width="14" style="35" customWidth="1"/>
    <col min="11" max="11" width="53.28515625" style="27" customWidth="1"/>
    <col min="12" max="16384" width="9.140625" style="1"/>
  </cols>
  <sheetData>
    <row r="1" spans="1:11" ht="18" customHeight="1" x14ac:dyDescent="0.2">
      <c r="A1" s="90" t="s">
        <v>151</v>
      </c>
      <c r="B1" s="91"/>
      <c r="C1" s="91"/>
      <c r="D1" s="91"/>
      <c r="E1" s="91"/>
      <c r="F1" s="91"/>
      <c r="G1" s="91"/>
      <c r="H1" s="91"/>
      <c r="I1" s="91"/>
      <c r="J1" s="91"/>
      <c r="K1" s="91"/>
    </row>
    <row r="2" spans="1:11" ht="51" x14ac:dyDescent="0.2">
      <c r="A2" s="31" t="s">
        <v>33</v>
      </c>
      <c r="B2" s="2" t="s">
        <v>0</v>
      </c>
      <c r="C2" s="31" t="s">
        <v>1</v>
      </c>
      <c r="D2" s="3" t="s">
        <v>28</v>
      </c>
      <c r="E2" s="4" t="s">
        <v>29</v>
      </c>
      <c r="F2" s="36" t="s">
        <v>48</v>
      </c>
      <c r="G2" s="32" t="s">
        <v>122</v>
      </c>
      <c r="H2" s="32" t="s">
        <v>147</v>
      </c>
      <c r="I2" s="63" t="s">
        <v>148</v>
      </c>
      <c r="J2" s="35" t="s">
        <v>149</v>
      </c>
      <c r="K2" s="2" t="s">
        <v>129</v>
      </c>
    </row>
    <row r="3" spans="1:11" x14ac:dyDescent="0.2">
      <c r="A3" s="70" t="s">
        <v>2</v>
      </c>
      <c r="B3" s="71"/>
      <c r="C3" s="71"/>
      <c r="D3" s="71"/>
      <c r="E3" s="71"/>
      <c r="F3" s="71"/>
      <c r="G3" s="72"/>
      <c r="H3" s="56"/>
      <c r="I3" s="56"/>
      <c r="J3" s="56"/>
      <c r="K3" s="5"/>
    </row>
    <row r="4" spans="1:11" x14ac:dyDescent="0.2">
      <c r="A4" s="73" t="s">
        <v>99</v>
      </c>
      <c r="B4" s="74"/>
      <c r="C4" s="74"/>
      <c r="D4" s="74"/>
      <c r="E4" s="74"/>
      <c r="F4" s="74"/>
      <c r="G4" s="75"/>
      <c r="H4" s="57"/>
      <c r="I4" s="64"/>
      <c r="J4" s="57"/>
      <c r="K4" s="5"/>
    </row>
    <row r="5" spans="1:11" ht="140.25" x14ac:dyDescent="0.2">
      <c r="A5" s="31" t="s">
        <v>98</v>
      </c>
      <c r="B5" s="5" t="s">
        <v>3</v>
      </c>
      <c r="C5" s="5" t="s">
        <v>123</v>
      </c>
      <c r="D5" s="6">
        <v>235786</v>
      </c>
      <c r="E5" s="7">
        <f>D5*12</f>
        <v>2829432</v>
      </c>
      <c r="F5" s="37">
        <v>2345150</v>
      </c>
      <c r="G5" s="32">
        <f>E5-F5</f>
        <v>484282</v>
      </c>
      <c r="H5" s="32">
        <v>438352</v>
      </c>
      <c r="I5" s="63">
        <f>G5-H5</f>
        <v>45930</v>
      </c>
      <c r="J5" s="32"/>
      <c r="K5" s="49" t="s">
        <v>186</v>
      </c>
    </row>
    <row r="6" spans="1:11" ht="114.75" x14ac:dyDescent="0.2">
      <c r="A6" s="48" t="s">
        <v>126</v>
      </c>
      <c r="B6" s="47" t="s">
        <v>131</v>
      </c>
      <c r="C6" s="47" t="s">
        <v>132</v>
      </c>
      <c r="D6" s="46">
        <v>47294</v>
      </c>
      <c r="E6" s="45">
        <f>D6*12</f>
        <v>567528</v>
      </c>
      <c r="F6" s="45">
        <f>E6</f>
        <v>567528</v>
      </c>
      <c r="G6" s="44">
        <v>0</v>
      </c>
      <c r="H6" s="44">
        <v>0</v>
      </c>
      <c r="I6" s="63">
        <f t="shared" ref="I6:I11" si="0">G6-H6</f>
        <v>0</v>
      </c>
      <c r="J6" s="44"/>
      <c r="K6" s="50" t="s">
        <v>144</v>
      </c>
    </row>
    <row r="7" spans="1:11" ht="25.5" x14ac:dyDescent="0.2">
      <c r="A7" s="31" t="s">
        <v>130</v>
      </c>
      <c r="B7" s="5" t="s">
        <v>4</v>
      </c>
      <c r="C7" s="5" t="s">
        <v>152</v>
      </c>
      <c r="D7" s="6">
        <f>63*115</f>
        <v>7245</v>
      </c>
      <c r="E7" s="7">
        <f>D7*12</f>
        <v>86940</v>
      </c>
      <c r="F7" s="37">
        <f>E7</f>
        <v>86940</v>
      </c>
      <c r="G7" s="32">
        <f>E7-F7</f>
        <v>0</v>
      </c>
      <c r="H7" s="32">
        <v>0</v>
      </c>
      <c r="I7" s="63">
        <f t="shared" si="0"/>
        <v>0</v>
      </c>
      <c r="J7" s="32"/>
      <c r="K7" s="49" t="s">
        <v>187</v>
      </c>
    </row>
    <row r="8" spans="1:11" s="11" customFormat="1" x14ac:dyDescent="0.2">
      <c r="A8" s="8"/>
      <c r="B8" s="8" t="s">
        <v>5</v>
      </c>
      <c r="C8" s="8" t="s">
        <v>50</v>
      </c>
      <c r="D8" s="9"/>
      <c r="E8" s="10">
        <f>SUM(E5:E7)</f>
        <v>3483900</v>
      </c>
      <c r="F8" s="10">
        <f>SUM(F5:F7)</f>
        <v>2999618</v>
      </c>
      <c r="G8" s="10">
        <f>E8-F8</f>
        <v>484282</v>
      </c>
      <c r="H8" s="10">
        <f>SUM(H5:H7)</f>
        <v>438352</v>
      </c>
      <c r="I8" s="63">
        <f t="shared" si="0"/>
        <v>45930</v>
      </c>
      <c r="J8" s="10">
        <f>I8/H8*100</f>
        <v>10.477880789867504</v>
      </c>
      <c r="K8" s="31"/>
    </row>
    <row r="9" spans="1:11" x14ac:dyDescent="0.2">
      <c r="A9" s="76" t="s">
        <v>100</v>
      </c>
      <c r="B9" s="77"/>
      <c r="C9" s="77"/>
      <c r="D9" s="77"/>
      <c r="E9" s="77"/>
      <c r="F9" s="77"/>
      <c r="G9" s="78"/>
      <c r="H9" s="58"/>
      <c r="I9" s="63"/>
      <c r="J9" s="58"/>
      <c r="K9" s="5"/>
    </row>
    <row r="10" spans="1:11" x14ac:dyDescent="0.2">
      <c r="A10" s="31" t="s">
        <v>84</v>
      </c>
      <c r="B10" s="5" t="s">
        <v>7</v>
      </c>
      <c r="C10" s="5" t="s">
        <v>153</v>
      </c>
      <c r="D10" s="6">
        <v>5204</v>
      </c>
      <c r="E10" s="7">
        <f>D10*12</f>
        <v>62448</v>
      </c>
      <c r="F10" s="37">
        <v>43000</v>
      </c>
      <c r="G10" s="32">
        <f>E10-F10</f>
        <v>19448</v>
      </c>
      <c r="H10" s="32">
        <v>18944</v>
      </c>
      <c r="I10" s="63">
        <f t="shared" si="0"/>
        <v>504</v>
      </c>
      <c r="J10" s="32"/>
      <c r="K10" s="49" t="s">
        <v>113</v>
      </c>
    </row>
    <row r="11" spans="1:11" ht="38.25" x14ac:dyDescent="0.2">
      <c r="A11" s="31" t="s">
        <v>85</v>
      </c>
      <c r="B11" s="5" t="s">
        <v>8</v>
      </c>
      <c r="C11" s="5" t="s">
        <v>185</v>
      </c>
      <c r="D11" s="6">
        <v>5687</v>
      </c>
      <c r="E11" s="7">
        <f>D11*12</f>
        <v>68244</v>
      </c>
      <c r="F11" s="37">
        <v>51288</v>
      </c>
      <c r="G11" s="32">
        <f>E11-F11</f>
        <v>16956</v>
      </c>
      <c r="H11" s="32">
        <v>13536</v>
      </c>
      <c r="I11" s="63">
        <f t="shared" si="0"/>
        <v>3420</v>
      </c>
      <c r="J11" s="32"/>
      <c r="K11" s="49" t="s">
        <v>188</v>
      </c>
    </row>
    <row r="12" spans="1:11" ht="38.25" x14ac:dyDescent="0.2">
      <c r="A12" s="31" t="s">
        <v>86</v>
      </c>
      <c r="B12" s="5" t="s">
        <v>34</v>
      </c>
      <c r="C12" s="5" t="s">
        <v>154</v>
      </c>
      <c r="D12" s="6">
        <v>5245</v>
      </c>
      <c r="E12" s="7">
        <f>D12*12</f>
        <v>62940</v>
      </c>
      <c r="F12" s="37">
        <f>E12</f>
        <v>62940</v>
      </c>
      <c r="G12" s="32">
        <f>E12-F12</f>
        <v>0</v>
      </c>
      <c r="H12" s="32">
        <v>0</v>
      </c>
      <c r="I12" s="63"/>
      <c r="J12" s="32"/>
      <c r="K12" s="49" t="s">
        <v>145</v>
      </c>
    </row>
    <row r="13" spans="1:11" ht="25.5" x14ac:dyDescent="0.2">
      <c r="A13" s="31" t="s">
        <v>87</v>
      </c>
      <c r="B13" s="5" t="s">
        <v>36</v>
      </c>
      <c r="C13" s="5" t="s">
        <v>155</v>
      </c>
      <c r="D13" s="6">
        <v>1425</v>
      </c>
      <c r="E13" s="7">
        <f>D13*12</f>
        <v>17100</v>
      </c>
      <c r="F13" s="37">
        <v>15720</v>
      </c>
      <c r="G13" s="32">
        <v>0</v>
      </c>
      <c r="H13" s="32">
        <v>0</v>
      </c>
      <c r="I13" s="63"/>
      <c r="J13" s="32"/>
      <c r="K13" s="49" t="s">
        <v>113</v>
      </c>
    </row>
    <row r="14" spans="1:11" x14ac:dyDescent="0.2">
      <c r="A14" s="8"/>
      <c r="B14" s="8" t="s">
        <v>5</v>
      </c>
      <c r="C14" s="8" t="s">
        <v>51</v>
      </c>
      <c r="D14" s="9"/>
      <c r="E14" s="10">
        <f>SUM(E10:E13)</f>
        <v>210732</v>
      </c>
      <c r="F14" s="10">
        <f>SUM(F10:F13)</f>
        <v>172948</v>
      </c>
      <c r="G14" s="10">
        <f>SUM(G10:G13)</f>
        <v>36404</v>
      </c>
      <c r="H14" s="10">
        <f>SUM(H10:H13)</f>
        <v>32480</v>
      </c>
      <c r="I14" s="63">
        <f>G14-H14</f>
        <v>3924</v>
      </c>
      <c r="J14" s="10">
        <f>I14/H14*100</f>
        <v>12.08128078817734</v>
      </c>
      <c r="K14" s="5"/>
    </row>
    <row r="15" spans="1:11" x14ac:dyDescent="0.2">
      <c r="A15" s="73" t="s">
        <v>101</v>
      </c>
      <c r="B15" s="74"/>
      <c r="C15" s="74"/>
      <c r="D15" s="74"/>
      <c r="E15" s="74"/>
      <c r="F15" s="74"/>
      <c r="G15" s="75"/>
      <c r="H15" s="57"/>
      <c r="I15" s="63"/>
      <c r="J15" s="57"/>
      <c r="K15" s="5"/>
    </row>
    <row r="16" spans="1:11" x14ac:dyDescent="0.2">
      <c r="A16" s="31" t="s">
        <v>6</v>
      </c>
      <c r="B16" s="5" t="s">
        <v>114</v>
      </c>
      <c r="C16" s="5" t="s">
        <v>156</v>
      </c>
      <c r="D16" s="6"/>
      <c r="E16" s="7">
        <f>310*114</f>
        <v>35340</v>
      </c>
      <c r="F16" s="37">
        <v>15600</v>
      </c>
      <c r="G16" s="32"/>
      <c r="H16" s="32"/>
      <c r="I16" s="63"/>
      <c r="J16" s="32"/>
      <c r="K16" s="92" t="s">
        <v>112</v>
      </c>
    </row>
    <row r="17" spans="1:11" ht="25.5" x14ac:dyDescent="0.2">
      <c r="A17" s="31" t="s">
        <v>88</v>
      </c>
      <c r="B17" s="5" t="s">
        <v>115</v>
      </c>
      <c r="C17" s="5" t="s">
        <v>157</v>
      </c>
      <c r="D17" s="6">
        <f>4.5*2*115</f>
        <v>1035</v>
      </c>
      <c r="E17" s="7">
        <f>D17*11</f>
        <v>11385</v>
      </c>
      <c r="F17" s="37"/>
      <c r="G17" s="32"/>
      <c r="H17" s="32"/>
      <c r="I17" s="63"/>
      <c r="J17" s="32"/>
      <c r="K17" s="92"/>
    </row>
    <row r="18" spans="1:11" x14ac:dyDescent="0.2">
      <c r="A18" s="31" t="s">
        <v>102</v>
      </c>
      <c r="B18" s="5" t="s">
        <v>56</v>
      </c>
      <c r="C18" s="5" t="s">
        <v>133</v>
      </c>
      <c r="D18" s="6">
        <f>6*2*66</f>
        <v>792</v>
      </c>
      <c r="E18" s="7">
        <f>D18*11</f>
        <v>8712</v>
      </c>
      <c r="F18" s="37"/>
      <c r="G18" s="32"/>
      <c r="H18" s="32"/>
      <c r="I18" s="63"/>
      <c r="J18" s="32"/>
      <c r="K18" s="92"/>
    </row>
    <row r="19" spans="1:11" ht="25.5" x14ac:dyDescent="0.2">
      <c r="A19" s="31" t="s">
        <v>35</v>
      </c>
      <c r="B19" s="5" t="s">
        <v>57</v>
      </c>
      <c r="C19" s="5" t="s">
        <v>158</v>
      </c>
      <c r="D19" s="6"/>
      <c r="E19" s="7">
        <f>5*114*5</f>
        <v>2850</v>
      </c>
      <c r="F19" s="37"/>
      <c r="G19" s="32"/>
      <c r="H19" s="32"/>
      <c r="I19" s="63"/>
      <c r="J19" s="32"/>
      <c r="K19" s="92"/>
    </row>
    <row r="20" spans="1:11" x14ac:dyDescent="0.2">
      <c r="A20" s="31" t="s">
        <v>89</v>
      </c>
      <c r="B20" s="5" t="s">
        <v>58</v>
      </c>
      <c r="C20" s="5" t="s">
        <v>124</v>
      </c>
      <c r="D20" s="6">
        <v>198</v>
      </c>
      <c r="E20" s="7">
        <f>D20*11</f>
        <v>2178</v>
      </c>
      <c r="F20" s="37"/>
      <c r="G20" s="32"/>
      <c r="H20" s="32"/>
      <c r="I20" s="63"/>
      <c r="J20" s="32"/>
      <c r="K20" s="92"/>
    </row>
    <row r="21" spans="1:11" x14ac:dyDescent="0.2">
      <c r="A21" s="31" t="s">
        <v>90</v>
      </c>
      <c r="B21" s="5" t="s">
        <v>59</v>
      </c>
      <c r="C21" s="5" t="s">
        <v>134</v>
      </c>
      <c r="E21" s="6">
        <f>12*66*2</f>
        <v>1584</v>
      </c>
      <c r="F21" s="37"/>
      <c r="G21" s="32"/>
      <c r="H21" s="32"/>
      <c r="I21" s="63"/>
      <c r="J21" s="32"/>
      <c r="K21" s="92"/>
    </row>
    <row r="22" spans="1:11" x14ac:dyDescent="0.2">
      <c r="A22" s="31" t="s">
        <v>91</v>
      </c>
      <c r="B22" s="5" t="s">
        <v>60</v>
      </c>
      <c r="C22" s="5" t="s">
        <v>135</v>
      </c>
      <c r="D22" s="6"/>
      <c r="E22" s="7">
        <f>82*54</f>
        <v>4428</v>
      </c>
      <c r="F22" s="37"/>
      <c r="G22" s="32"/>
      <c r="H22" s="32"/>
      <c r="I22" s="63"/>
      <c r="J22" s="32"/>
      <c r="K22" s="92"/>
    </row>
    <row r="23" spans="1:11" ht="25.5" x14ac:dyDescent="0.2">
      <c r="A23" s="31" t="s">
        <v>92</v>
      </c>
      <c r="B23" s="5" t="s">
        <v>117</v>
      </c>
      <c r="C23" s="5" t="s">
        <v>159</v>
      </c>
      <c r="D23" s="6"/>
      <c r="E23" s="7">
        <f>132*114</f>
        <v>15048</v>
      </c>
      <c r="F23" s="37">
        <v>10102</v>
      </c>
      <c r="G23" s="32"/>
      <c r="H23" s="32"/>
      <c r="I23" s="63"/>
      <c r="J23" s="32"/>
      <c r="K23" s="92"/>
    </row>
    <row r="24" spans="1:11" ht="38.25" x14ac:dyDescent="0.2">
      <c r="A24" s="31" t="s">
        <v>93</v>
      </c>
      <c r="B24" s="5" t="s">
        <v>116</v>
      </c>
      <c r="C24" s="5" t="s">
        <v>160</v>
      </c>
      <c r="D24" s="6"/>
      <c r="E24" s="7">
        <f>0.6*20*4*114</f>
        <v>5472</v>
      </c>
      <c r="F24" s="37"/>
      <c r="G24" s="34"/>
      <c r="H24" s="34"/>
      <c r="I24" s="63"/>
      <c r="J24" s="34"/>
      <c r="K24" s="92"/>
    </row>
    <row r="25" spans="1:11" s="13" customFormat="1" ht="25.5" x14ac:dyDescent="0.2">
      <c r="A25" s="31" t="s">
        <v>94</v>
      </c>
      <c r="B25" s="5" t="s">
        <v>37</v>
      </c>
      <c r="C25" s="5" t="s">
        <v>161</v>
      </c>
      <c r="D25" s="6"/>
      <c r="E25" s="7">
        <f>75*114</f>
        <v>8550</v>
      </c>
      <c r="F25" s="37"/>
      <c r="G25" s="34"/>
      <c r="H25" s="34"/>
      <c r="I25" s="63"/>
      <c r="J25" s="34"/>
      <c r="K25" s="92"/>
    </row>
    <row r="26" spans="1:11" ht="25.5" x14ac:dyDescent="0.2">
      <c r="A26" s="31" t="s">
        <v>103</v>
      </c>
      <c r="B26" s="5" t="s">
        <v>136</v>
      </c>
      <c r="C26" s="5" t="s">
        <v>162</v>
      </c>
      <c r="D26" s="6"/>
      <c r="E26" s="7">
        <f>14.2*18*114</f>
        <v>29138.399999999998</v>
      </c>
      <c r="F26" s="37">
        <v>25893</v>
      </c>
      <c r="G26" s="34"/>
      <c r="H26" s="34"/>
      <c r="I26" s="63"/>
      <c r="J26" s="34"/>
      <c r="K26" s="92"/>
    </row>
    <row r="27" spans="1:11" ht="25.5" x14ac:dyDescent="0.2">
      <c r="A27" s="31" t="s">
        <v>95</v>
      </c>
      <c r="B27" s="5" t="s">
        <v>137</v>
      </c>
      <c r="C27" s="5" t="s">
        <v>163</v>
      </c>
      <c r="D27" s="7"/>
      <c r="E27" s="7">
        <f>0.8*10*114*12</f>
        <v>10944</v>
      </c>
      <c r="F27" s="37"/>
      <c r="G27" s="34"/>
      <c r="H27" s="34"/>
      <c r="I27" s="63"/>
      <c r="J27" s="34"/>
      <c r="K27" s="92"/>
    </row>
    <row r="28" spans="1:11" ht="25.5" x14ac:dyDescent="0.2">
      <c r="A28" s="31" t="s">
        <v>104</v>
      </c>
      <c r="B28" s="14" t="s">
        <v>138</v>
      </c>
      <c r="C28" s="14" t="s">
        <v>143</v>
      </c>
      <c r="D28" s="15">
        <v>499</v>
      </c>
      <c r="E28" s="15">
        <f>D28*11</f>
        <v>5489</v>
      </c>
      <c r="F28" s="36">
        <f>E28</f>
        <v>5489</v>
      </c>
      <c r="G28" s="32"/>
      <c r="H28" s="32"/>
      <c r="I28" s="63"/>
      <c r="J28" s="32"/>
      <c r="K28" s="92"/>
    </row>
    <row r="29" spans="1:11" x14ac:dyDescent="0.2">
      <c r="A29" s="31" t="s">
        <v>105</v>
      </c>
      <c r="B29" s="5" t="s">
        <v>139</v>
      </c>
      <c r="C29" s="5" t="s">
        <v>142</v>
      </c>
      <c r="D29" s="7">
        <v>432</v>
      </c>
      <c r="E29" s="7">
        <f>D29*11</f>
        <v>4752</v>
      </c>
      <c r="F29" s="37"/>
      <c r="G29" s="34"/>
      <c r="H29" s="34"/>
      <c r="I29" s="63"/>
      <c r="J29" s="34"/>
      <c r="K29" s="92"/>
    </row>
    <row r="30" spans="1:11" x14ac:dyDescent="0.2">
      <c r="A30" s="8"/>
      <c r="B30" s="8" t="s">
        <v>5</v>
      </c>
      <c r="C30" s="16" t="s">
        <v>52</v>
      </c>
      <c r="D30" s="9"/>
      <c r="E30" s="10">
        <f>SUM(E16:E29)</f>
        <v>145870.39999999999</v>
      </c>
      <c r="F30" s="10">
        <f>SUM(F16:F29)</f>
        <v>57084</v>
      </c>
      <c r="G30" s="10">
        <f>E30-F30</f>
        <v>88786.4</v>
      </c>
      <c r="H30" s="10">
        <v>84533.4</v>
      </c>
      <c r="I30" s="63">
        <f>G30-H30</f>
        <v>4253</v>
      </c>
      <c r="J30" s="10">
        <f>I30/H30*100</f>
        <v>5.0311474517764578</v>
      </c>
      <c r="K30" s="5"/>
    </row>
    <row r="31" spans="1:11" x14ac:dyDescent="0.2">
      <c r="A31" s="73" t="s">
        <v>61</v>
      </c>
      <c r="B31" s="74"/>
      <c r="C31" s="74"/>
      <c r="D31" s="74"/>
      <c r="E31" s="74"/>
      <c r="F31" s="74"/>
      <c r="G31" s="75"/>
      <c r="H31" s="57"/>
      <c r="I31" s="63"/>
      <c r="J31" s="57"/>
      <c r="K31" s="5"/>
    </row>
    <row r="32" spans="1:11" ht="12.75" customHeight="1" x14ac:dyDescent="0.2">
      <c r="A32" s="31" t="s">
        <v>96</v>
      </c>
      <c r="B32" s="5" t="s">
        <v>118</v>
      </c>
      <c r="C32" s="17">
        <f>27*50</f>
        <v>1350</v>
      </c>
      <c r="D32" s="6"/>
      <c r="E32" s="7">
        <f>C32</f>
        <v>1350</v>
      </c>
      <c r="F32" s="37">
        <f>E32</f>
        <v>1350</v>
      </c>
      <c r="G32" s="34"/>
      <c r="H32" s="60"/>
      <c r="I32" s="63"/>
      <c r="J32" s="60"/>
      <c r="K32" s="94" t="s">
        <v>112</v>
      </c>
    </row>
    <row r="33" spans="1:11" x14ac:dyDescent="0.2">
      <c r="A33" s="31" t="s">
        <v>97</v>
      </c>
      <c r="B33" s="5" t="s">
        <v>62</v>
      </c>
      <c r="C33" s="17">
        <v>2125</v>
      </c>
      <c r="D33" s="6"/>
      <c r="E33" s="7">
        <v>2125</v>
      </c>
      <c r="F33" s="37">
        <f>E33</f>
        <v>2125</v>
      </c>
      <c r="G33" s="34"/>
      <c r="H33" s="61"/>
      <c r="I33" s="63"/>
      <c r="J33" s="61"/>
      <c r="K33" s="95"/>
    </row>
    <row r="34" spans="1:11" x14ac:dyDescent="0.2">
      <c r="A34" s="31" t="s">
        <v>140</v>
      </c>
      <c r="B34" s="53" t="s">
        <v>141</v>
      </c>
      <c r="C34" s="17">
        <v>1650</v>
      </c>
      <c r="D34" s="6"/>
      <c r="E34" s="7">
        <v>1650</v>
      </c>
      <c r="F34" s="37">
        <v>1650</v>
      </c>
      <c r="G34" s="34"/>
      <c r="H34" s="62"/>
      <c r="I34" s="63"/>
      <c r="J34" s="62"/>
      <c r="K34" s="96"/>
    </row>
    <row r="35" spans="1:11" x14ac:dyDescent="0.2">
      <c r="A35" s="8"/>
      <c r="B35" s="8" t="s">
        <v>5</v>
      </c>
      <c r="C35" s="16" t="s">
        <v>53</v>
      </c>
      <c r="D35" s="9"/>
      <c r="E35" s="10">
        <f>SUM(E32:E34)</f>
        <v>5125</v>
      </c>
      <c r="F35" s="10">
        <f>SUM(F32:F34)</f>
        <v>5125</v>
      </c>
      <c r="G35" s="10">
        <f>E35-F35</f>
        <v>0</v>
      </c>
      <c r="H35" s="10">
        <v>0</v>
      </c>
      <c r="I35" s="65"/>
      <c r="J35" s="10"/>
      <c r="K35" s="5"/>
    </row>
    <row r="36" spans="1:11" x14ac:dyDescent="0.2">
      <c r="A36" s="73" t="s">
        <v>12</v>
      </c>
      <c r="B36" s="74"/>
      <c r="C36" s="74"/>
      <c r="D36" s="74"/>
      <c r="E36" s="74"/>
      <c r="F36" s="74"/>
      <c r="G36" s="75"/>
      <c r="H36" s="57"/>
      <c r="I36" s="63"/>
      <c r="J36" s="57"/>
      <c r="K36" s="5"/>
    </row>
    <row r="37" spans="1:11" x14ac:dyDescent="0.2">
      <c r="A37" s="31" t="s">
        <v>9</v>
      </c>
      <c r="B37" s="5" t="s">
        <v>169</v>
      </c>
      <c r="C37" s="5" t="s">
        <v>164</v>
      </c>
      <c r="D37" s="7"/>
      <c r="E37" s="33">
        <f>2*22*115</f>
        <v>5060</v>
      </c>
      <c r="F37" s="37">
        <f>E37</f>
        <v>5060</v>
      </c>
      <c r="G37" s="34"/>
      <c r="H37" s="34"/>
      <c r="I37" s="63"/>
      <c r="J37" s="34"/>
      <c r="K37" s="92" t="s">
        <v>112</v>
      </c>
    </row>
    <row r="38" spans="1:11" x14ac:dyDescent="0.2">
      <c r="A38" s="31" t="s">
        <v>10</v>
      </c>
      <c r="B38" s="5" t="s">
        <v>170</v>
      </c>
      <c r="C38" s="5" t="s">
        <v>168</v>
      </c>
      <c r="D38" s="7"/>
      <c r="E38" s="33">
        <f>2*94*115</f>
        <v>21620</v>
      </c>
      <c r="F38" s="37">
        <f>E38</f>
        <v>21620</v>
      </c>
      <c r="G38" s="34"/>
      <c r="H38" s="34"/>
      <c r="I38" s="63"/>
      <c r="J38" s="34"/>
      <c r="K38" s="92"/>
    </row>
    <row r="39" spans="1:11" x14ac:dyDescent="0.2">
      <c r="A39" s="31" t="s">
        <v>106</v>
      </c>
      <c r="B39" s="5" t="s">
        <v>171</v>
      </c>
      <c r="C39" s="5" t="s">
        <v>165</v>
      </c>
      <c r="D39" s="7">
        <f>24*115</f>
        <v>2760</v>
      </c>
      <c r="E39" s="33">
        <f>D39*12</f>
        <v>33120</v>
      </c>
      <c r="F39" s="37">
        <f>E39</f>
        <v>33120</v>
      </c>
      <c r="G39" s="34"/>
      <c r="H39" s="34"/>
      <c r="I39" s="63"/>
      <c r="J39" s="34"/>
      <c r="K39" s="92"/>
    </row>
    <row r="40" spans="1:11" x14ac:dyDescent="0.2">
      <c r="A40" s="31" t="s">
        <v>107</v>
      </c>
      <c r="B40" s="5" t="s">
        <v>172</v>
      </c>
      <c r="C40" s="5" t="s">
        <v>166</v>
      </c>
      <c r="D40" s="7">
        <f>19*115</f>
        <v>2185</v>
      </c>
      <c r="E40" s="33">
        <f>D40*12</f>
        <v>26220</v>
      </c>
      <c r="F40" s="37">
        <v>7228</v>
      </c>
      <c r="G40" s="34"/>
      <c r="H40" s="34"/>
      <c r="I40" s="63"/>
      <c r="J40" s="34"/>
      <c r="K40" s="92"/>
    </row>
    <row r="41" spans="1:11" x14ac:dyDescent="0.2">
      <c r="A41" s="31" t="s">
        <v>108</v>
      </c>
      <c r="B41" s="5" t="s">
        <v>173</v>
      </c>
      <c r="C41" s="5" t="s">
        <v>174</v>
      </c>
      <c r="D41" s="7">
        <v>614</v>
      </c>
      <c r="E41" s="33">
        <f>D41*12</f>
        <v>7368</v>
      </c>
      <c r="F41" s="37">
        <v>6888</v>
      </c>
      <c r="G41" s="34"/>
      <c r="H41" s="34"/>
      <c r="I41" s="63"/>
      <c r="J41" s="34"/>
      <c r="K41" s="92"/>
    </row>
    <row r="42" spans="1:11" x14ac:dyDescent="0.2">
      <c r="A42" s="31" t="s">
        <v>109</v>
      </c>
      <c r="B42" s="5" t="s">
        <v>125</v>
      </c>
      <c r="C42" s="5" t="s">
        <v>167</v>
      </c>
      <c r="D42" s="7">
        <f>39.5*115</f>
        <v>4542.5</v>
      </c>
      <c r="E42" s="33">
        <f>D42*12</f>
        <v>54510</v>
      </c>
      <c r="F42" s="37">
        <f>E42</f>
        <v>54510</v>
      </c>
      <c r="G42" s="34"/>
      <c r="H42" s="34"/>
      <c r="I42" s="63"/>
      <c r="J42" s="34"/>
      <c r="K42" s="92"/>
    </row>
    <row r="43" spans="1:11" ht="25.5" x14ac:dyDescent="0.2">
      <c r="A43" s="31" t="s">
        <v>110</v>
      </c>
      <c r="B43" s="5" t="s">
        <v>175</v>
      </c>
      <c r="C43" s="5">
        <f>60* 4*68</f>
        <v>16320</v>
      </c>
      <c r="D43" s="7"/>
      <c r="E43" s="33">
        <f>C43</f>
        <v>16320</v>
      </c>
      <c r="F43" s="37">
        <f>E43</f>
        <v>16320</v>
      </c>
      <c r="G43" s="34"/>
      <c r="H43" s="34"/>
      <c r="I43" s="63"/>
      <c r="J43" s="34"/>
      <c r="K43" s="92"/>
    </row>
    <row r="44" spans="1:11" x14ac:dyDescent="0.2">
      <c r="A44" s="8"/>
      <c r="B44" s="18" t="s">
        <v>5</v>
      </c>
      <c r="C44" s="18" t="s">
        <v>54</v>
      </c>
      <c r="D44" s="19"/>
      <c r="E44" s="10">
        <f>SUM(E37:E43)</f>
        <v>164218</v>
      </c>
      <c r="F44" s="10">
        <f>SUM(F37:F43)</f>
        <v>144746</v>
      </c>
      <c r="G44" s="10">
        <f>E44-F44</f>
        <v>19472</v>
      </c>
      <c r="H44" s="10">
        <v>18764</v>
      </c>
      <c r="I44" s="10">
        <f t="shared" ref="I44:I54" si="1">G44-H44</f>
        <v>708</v>
      </c>
      <c r="J44" s="10">
        <f>I44/H44*100</f>
        <v>3.7731826902579408</v>
      </c>
      <c r="K44" s="5"/>
    </row>
    <row r="45" spans="1:11" x14ac:dyDescent="0.2">
      <c r="A45" s="73" t="s">
        <v>63</v>
      </c>
      <c r="B45" s="74"/>
      <c r="C45" s="74"/>
      <c r="D45" s="74"/>
      <c r="E45" s="74"/>
      <c r="F45" s="74"/>
      <c r="G45" s="75"/>
      <c r="H45" s="57"/>
      <c r="I45" s="63"/>
      <c r="J45" s="57"/>
      <c r="K45" s="5"/>
    </row>
    <row r="46" spans="1:11" s="24" customFormat="1" x14ac:dyDescent="0.2">
      <c r="A46" s="20" t="s">
        <v>13</v>
      </c>
      <c r="B46" s="21" t="s">
        <v>64</v>
      </c>
      <c r="C46" s="21" t="s">
        <v>65</v>
      </c>
      <c r="D46" s="22"/>
      <c r="E46" s="23">
        <f>45*12*34</f>
        <v>18360</v>
      </c>
      <c r="F46" s="38">
        <f>E46</f>
        <v>18360</v>
      </c>
      <c r="G46" s="32"/>
      <c r="H46" s="32"/>
      <c r="I46" s="63"/>
      <c r="J46" s="32"/>
      <c r="K46" s="93" t="s">
        <v>112</v>
      </c>
    </row>
    <row r="47" spans="1:11" s="24" customFormat="1" x14ac:dyDescent="0.2">
      <c r="A47" s="20" t="s">
        <v>14</v>
      </c>
      <c r="B47" s="21" t="s">
        <v>66</v>
      </c>
      <c r="C47" s="21" t="s">
        <v>67</v>
      </c>
      <c r="D47" s="22"/>
      <c r="E47" s="23">
        <f>9*12*63</f>
        <v>6804</v>
      </c>
      <c r="F47" s="38">
        <f>E47</f>
        <v>6804</v>
      </c>
      <c r="G47" s="32"/>
      <c r="H47" s="32"/>
      <c r="I47" s="63"/>
      <c r="J47" s="32"/>
      <c r="K47" s="93"/>
    </row>
    <row r="48" spans="1:11" s="24" customFormat="1" x14ac:dyDescent="0.2">
      <c r="A48" s="20" t="s">
        <v>15</v>
      </c>
      <c r="B48" s="21" t="s">
        <v>68</v>
      </c>
      <c r="C48" s="21" t="s">
        <v>69</v>
      </c>
      <c r="D48" s="22"/>
      <c r="E48" s="23">
        <f>12*12*124</f>
        <v>17856</v>
      </c>
      <c r="F48" s="38">
        <v>0</v>
      </c>
      <c r="G48" s="32"/>
      <c r="H48" s="32"/>
      <c r="I48" s="63"/>
      <c r="J48" s="32"/>
      <c r="K48" s="93"/>
    </row>
    <row r="49" spans="1:11" s="24" customFormat="1" x14ac:dyDescent="0.2">
      <c r="A49" s="20" t="s">
        <v>16</v>
      </c>
      <c r="B49" s="21" t="s">
        <v>70</v>
      </c>
      <c r="C49" s="21" t="s">
        <v>71</v>
      </c>
      <c r="D49" s="22"/>
      <c r="E49" s="23">
        <f>10*3*92</f>
        <v>2760</v>
      </c>
      <c r="F49" s="38">
        <f>E49</f>
        <v>2760</v>
      </c>
      <c r="G49" s="32"/>
      <c r="H49" s="32"/>
      <c r="I49" s="63"/>
      <c r="J49" s="32"/>
      <c r="K49" s="93"/>
    </row>
    <row r="50" spans="1:11" s="24" customFormat="1" x14ac:dyDescent="0.2">
      <c r="A50" s="20" t="s">
        <v>17</v>
      </c>
      <c r="B50" s="21" t="s">
        <v>72</v>
      </c>
      <c r="C50" s="21" t="s">
        <v>73</v>
      </c>
      <c r="D50" s="22"/>
      <c r="E50" s="23">
        <f>40*12*30</f>
        <v>14400</v>
      </c>
      <c r="F50" s="38">
        <f>E50</f>
        <v>14400</v>
      </c>
      <c r="G50" s="32"/>
      <c r="H50" s="32"/>
      <c r="I50" s="63"/>
      <c r="J50" s="32"/>
      <c r="K50" s="93"/>
    </row>
    <row r="51" spans="1:11" s="24" customFormat="1" x14ac:dyDescent="0.2">
      <c r="A51" s="20" t="s">
        <v>18</v>
      </c>
      <c r="B51" s="21" t="s">
        <v>74</v>
      </c>
      <c r="C51" s="21" t="s">
        <v>75</v>
      </c>
      <c r="D51" s="22"/>
      <c r="E51" s="23">
        <f>20*6*168</f>
        <v>20160</v>
      </c>
      <c r="F51" s="38">
        <f>E51</f>
        <v>20160</v>
      </c>
      <c r="G51" s="32"/>
      <c r="H51" s="32"/>
      <c r="I51" s="63"/>
      <c r="J51" s="32"/>
      <c r="K51" s="93"/>
    </row>
    <row r="52" spans="1:11" s="24" customFormat="1" x14ac:dyDescent="0.2">
      <c r="A52" s="20" t="s">
        <v>19</v>
      </c>
      <c r="B52" s="21" t="s">
        <v>76</v>
      </c>
      <c r="C52" s="21" t="s">
        <v>75</v>
      </c>
      <c r="D52" s="22"/>
      <c r="E52" s="23">
        <f>20*6*75</f>
        <v>9000</v>
      </c>
      <c r="F52" s="38">
        <v>8200</v>
      </c>
      <c r="G52" s="32"/>
      <c r="H52" s="32"/>
      <c r="I52" s="63"/>
      <c r="J52" s="32"/>
      <c r="K52" s="93"/>
    </row>
    <row r="53" spans="1:11" s="24" customFormat="1" x14ac:dyDescent="0.2">
      <c r="A53" s="20" t="s">
        <v>77</v>
      </c>
      <c r="B53" s="21" t="s">
        <v>78</v>
      </c>
      <c r="C53" s="21" t="s">
        <v>79</v>
      </c>
      <c r="D53" s="22"/>
      <c r="E53" s="23">
        <f>10*6*130</f>
        <v>7800</v>
      </c>
      <c r="F53" s="38">
        <v>7320</v>
      </c>
      <c r="G53" s="32"/>
      <c r="H53" s="32"/>
      <c r="I53" s="63"/>
      <c r="J53" s="32"/>
      <c r="K53" s="93"/>
    </row>
    <row r="54" spans="1:11" x14ac:dyDescent="0.2">
      <c r="A54" s="8"/>
      <c r="B54" s="8" t="s">
        <v>5</v>
      </c>
      <c r="C54" s="8" t="s">
        <v>11</v>
      </c>
      <c r="D54" s="25"/>
      <c r="E54" s="10">
        <f>SUM(E46:E53)</f>
        <v>97140</v>
      </c>
      <c r="F54" s="10">
        <f>SUM(F46:F53)</f>
        <v>78004</v>
      </c>
      <c r="G54" s="10">
        <f>E54-F54</f>
        <v>19136</v>
      </c>
      <c r="H54" s="10">
        <v>19136</v>
      </c>
      <c r="I54" s="63">
        <f t="shared" si="1"/>
        <v>0</v>
      </c>
      <c r="J54" s="10">
        <f>I54/H54*100</f>
        <v>0</v>
      </c>
      <c r="K54" s="5"/>
    </row>
    <row r="55" spans="1:11" x14ac:dyDescent="0.2">
      <c r="A55" s="73" t="s">
        <v>30</v>
      </c>
      <c r="B55" s="74"/>
      <c r="C55" s="74"/>
      <c r="D55" s="74"/>
      <c r="E55" s="74"/>
      <c r="F55" s="74"/>
      <c r="G55" s="75"/>
      <c r="H55" s="57"/>
      <c r="I55" s="63"/>
      <c r="J55" s="57"/>
      <c r="K55" s="5"/>
    </row>
    <row r="56" spans="1:11" x14ac:dyDescent="0.2">
      <c r="A56" s="31" t="s">
        <v>80</v>
      </c>
      <c r="B56" s="5" t="s">
        <v>81</v>
      </c>
      <c r="C56" s="5" t="s">
        <v>176</v>
      </c>
      <c r="D56" s="3">
        <f>42*35*2</f>
        <v>2940</v>
      </c>
      <c r="E56" s="4">
        <f>D56*12</f>
        <v>35280</v>
      </c>
      <c r="F56" s="4">
        <f>E56</f>
        <v>35280</v>
      </c>
      <c r="G56" s="32">
        <f>E56-F56</f>
        <v>0</v>
      </c>
      <c r="H56" s="32"/>
      <c r="I56" s="63"/>
      <c r="J56" s="32"/>
      <c r="K56" s="5" t="s">
        <v>113</v>
      </c>
    </row>
    <row r="57" spans="1:11" x14ac:dyDescent="0.2">
      <c r="A57" s="8"/>
      <c r="B57" s="8" t="s">
        <v>5</v>
      </c>
      <c r="C57" s="8" t="s">
        <v>20</v>
      </c>
      <c r="D57" s="25"/>
      <c r="E57" s="10">
        <f>SUM(E56)</f>
        <v>35280</v>
      </c>
      <c r="F57" s="10">
        <f>SUM(F56)</f>
        <v>35280</v>
      </c>
      <c r="G57" s="10">
        <f>E57-F57</f>
        <v>0</v>
      </c>
      <c r="H57" s="10">
        <v>0</v>
      </c>
      <c r="I57" s="63">
        <f t="shared" ref="I57" si="2">G57-H57</f>
        <v>0</v>
      </c>
      <c r="J57" s="10">
        <v>0</v>
      </c>
      <c r="K57" s="5"/>
    </row>
    <row r="58" spans="1:11" x14ac:dyDescent="0.2">
      <c r="A58" s="73" t="s">
        <v>32</v>
      </c>
      <c r="B58" s="74"/>
      <c r="C58" s="74"/>
      <c r="D58" s="74"/>
      <c r="E58" s="74"/>
      <c r="F58" s="74"/>
      <c r="G58" s="75"/>
      <c r="H58" s="57"/>
      <c r="I58" s="63"/>
      <c r="J58" s="57"/>
      <c r="K58" s="5"/>
    </row>
    <row r="59" spans="1:11" ht="25.5" x14ac:dyDescent="0.2">
      <c r="A59" s="31" t="s">
        <v>120</v>
      </c>
      <c r="B59" s="5" t="s">
        <v>82</v>
      </c>
      <c r="C59" s="31"/>
      <c r="D59" s="3">
        <v>10428</v>
      </c>
      <c r="E59" s="4">
        <f>D59*4</f>
        <v>41712</v>
      </c>
      <c r="F59" s="4">
        <f>E59</f>
        <v>41712</v>
      </c>
      <c r="G59" s="32">
        <f>E59-F59</f>
        <v>0</v>
      </c>
      <c r="H59" s="32"/>
      <c r="I59" s="63"/>
      <c r="J59" s="32"/>
      <c r="K59" s="5" t="s">
        <v>113</v>
      </c>
    </row>
    <row r="60" spans="1:11" x14ac:dyDescent="0.2">
      <c r="A60" s="8"/>
      <c r="B60" s="8" t="s">
        <v>5</v>
      </c>
      <c r="C60" s="8" t="s">
        <v>38</v>
      </c>
      <c r="D60" s="25"/>
      <c r="E60" s="10">
        <f>SUM(E59)</f>
        <v>41712</v>
      </c>
      <c r="F60" s="10">
        <f>SUM(F59)</f>
        <v>41712</v>
      </c>
      <c r="G60" s="10">
        <f>E60-F60</f>
        <v>0</v>
      </c>
      <c r="H60" s="10">
        <v>0</v>
      </c>
      <c r="I60" s="63">
        <f t="shared" ref="I60" si="3">G60-H60</f>
        <v>0</v>
      </c>
      <c r="J60" s="10">
        <v>0</v>
      </c>
      <c r="K60" s="5"/>
    </row>
    <row r="61" spans="1:11" s="11" customFormat="1" x14ac:dyDescent="0.2">
      <c r="A61" s="76" t="s">
        <v>111</v>
      </c>
      <c r="B61" s="77"/>
      <c r="C61" s="77"/>
      <c r="D61" s="77"/>
      <c r="E61" s="77"/>
      <c r="F61" s="77"/>
      <c r="G61" s="78"/>
      <c r="H61" s="58"/>
      <c r="I61" s="63"/>
      <c r="J61" s="58"/>
      <c r="K61" s="31"/>
    </row>
    <row r="62" spans="1:11" x14ac:dyDescent="0.2">
      <c r="A62" s="31" t="s">
        <v>39</v>
      </c>
      <c r="B62" s="5" t="s">
        <v>21</v>
      </c>
      <c r="C62" s="5" t="s">
        <v>177</v>
      </c>
      <c r="D62" s="6">
        <v>10000</v>
      </c>
      <c r="E62" s="7">
        <f t="shared" ref="E62:E67" si="4">D62*11</f>
        <v>110000</v>
      </c>
      <c r="F62" s="37">
        <f>E62</f>
        <v>110000</v>
      </c>
      <c r="G62" s="32">
        <f t="shared" ref="G62:G71" si="5">E62-F62</f>
        <v>0</v>
      </c>
      <c r="H62" s="32"/>
      <c r="I62" s="63"/>
      <c r="J62" s="32"/>
      <c r="K62" s="92" t="s">
        <v>189</v>
      </c>
    </row>
    <row r="63" spans="1:11" x14ac:dyDescent="0.2">
      <c r="A63" s="31" t="s">
        <v>40</v>
      </c>
      <c r="B63" s="5" t="s">
        <v>55</v>
      </c>
      <c r="C63" s="5" t="s">
        <v>178</v>
      </c>
      <c r="D63" s="6">
        <v>5500</v>
      </c>
      <c r="E63" s="7">
        <f t="shared" si="4"/>
        <v>60500</v>
      </c>
      <c r="F63" s="37">
        <v>60500</v>
      </c>
      <c r="G63" s="32">
        <f t="shared" si="5"/>
        <v>0</v>
      </c>
      <c r="H63" s="32"/>
      <c r="I63" s="63"/>
      <c r="J63" s="32"/>
      <c r="K63" s="92"/>
    </row>
    <row r="64" spans="1:11" x14ac:dyDescent="0.2">
      <c r="A64" s="31" t="s">
        <v>41</v>
      </c>
      <c r="B64" s="5" t="s">
        <v>119</v>
      </c>
      <c r="C64" s="5" t="s">
        <v>179</v>
      </c>
      <c r="D64" s="6">
        <v>9800</v>
      </c>
      <c r="E64" s="7">
        <f t="shared" si="4"/>
        <v>107800</v>
      </c>
      <c r="F64" s="37">
        <f>E64</f>
        <v>107800</v>
      </c>
      <c r="G64" s="32">
        <f t="shared" si="5"/>
        <v>0</v>
      </c>
      <c r="H64" s="32"/>
      <c r="I64" s="63"/>
      <c r="J64" s="32"/>
      <c r="K64" s="92"/>
    </row>
    <row r="65" spans="1:11" x14ac:dyDescent="0.2">
      <c r="A65" s="31" t="s">
        <v>42</v>
      </c>
      <c r="B65" s="5" t="s">
        <v>22</v>
      </c>
      <c r="C65" s="5" t="s">
        <v>180</v>
      </c>
      <c r="D65" s="6">
        <v>5500</v>
      </c>
      <c r="E65" s="7">
        <f t="shared" si="4"/>
        <v>60500</v>
      </c>
      <c r="F65" s="37">
        <v>0</v>
      </c>
      <c r="G65" s="32">
        <f t="shared" si="5"/>
        <v>60500</v>
      </c>
      <c r="H65" s="32"/>
      <c r="I65" s="63"/>
      <c r="J65" s="32"/>
      <c r="K65" s="92"/>
    </row>
    <row r="66" spans="1:11" x14ac:dyDescent="0.2">
      <c r="A66" s="31" t="s">
        <v>43</v>
      </c>
      <c r="B66" s="5" t="s">
        <v>83</v>
      </c>
      <c r="C66" s="5" t="s">
        <v>181</v>
      </c>
      <c r="D66" s="6">
        <v>7000</v>
      </c>
      <c r="E66" s="7">
        <f t="shared" si="4"/>
        <v>77000</v>
      </c>
      <c r="F66" s="37">
        <v>0</v>
      </c>
      <c r="G66" s="32">
        <f t="shared" si="5"/>
        <v>77000</v>
      </c>
      <c r="H66" s="32"/>
      <c r="I66" s="63"/>
      <c r="J66" s="32"/>
      <c r="K66" s="92"/>
    </row>
    <row r="67" spans="1:11" x14ac:dyDescent="0.2">
      <c r="A67" s="31" t="s">
        <v>44</v>
      </c>
      <c r="B67" s="5" t="s">
        <v>23</v>
      </c>
      <c r="C67" s="5" t="s">
        <v>182</v>
      </c>
      <c r="D67" s="6">
        <f>5250*3</f>
        <v>15750</v>
      </c>
      <c r="E67" s="7">
        <f t="shared" si="4"/>
        <v>173250</v>
      </c>
      <c r="F67" s="37">
        <v>0</v>
      </c>
      <c r="G67" s="32">
        <f t="shared" si="5"/>
        <v>173250</v>
      </c>
      <c r="H67" s="32"/>
      <c r="I67" s="63"/>
      <c r="J67" s="32"/>
      <c r="K67" s="92"/>
    </row>
    <row r="68" spans="1:11" x14ac:dyDescent="0.2">
      <c r="A68" s="31" t="s">
        <v>45</v>
      </c>
      <c r="B68" s="5" t="s">
        <v>24</v>
      </c>
      <c r="C68" s="5" t="s">
        <v>183</v>
      </c>
      <c r="D68" s="6">
        <v>7000</v>
      </c>
      <c r="E68" s="7">
        <f>D68*12</f>
        <v>84000</v>
      </c>
      <c r="F68" s="37">
        <v>0</v>
      </c>
      <c r="G68" s="32">
        <f t="shared" si="5"/>
        <v>84000</v>
      </c>
      <c r="H68" s="32"/>
      <c r="I68" s="63"/>
      <c r="J68" s="32"/>
      <c r="K68" s="92"/>
    </row>
    <row r="69" spans="1:11" x14ac:dyDescent="0.2">
      <c r="A69" s="31" t="s">
        <v>46</v>
      </c>
      <c r="B69" s="5" t="s">
        <v>49</v>
      </c>
      <c r="C69" s="5" t="s">
        <v>183</v>
      </c>
      <c r="D69" s="6">
        <v>7000</v>
      </c>
      <c r="E69" s="7">
        <f>D69*12</f>
        <v>84000</v>
      </c>
      <c r="F69" s="37">
        <v>0</v>
      </c>
      <c r="G69" s="32">
        <f t="shared" si="5"/>
        <v>84000</v>
      </c>
      <c r="H69" s="32"/>
      <c r="I69" s="63"/>
      <c r="J69" s="32"/>
      <c r="K69" s="92"/>
    </row>
    <row r="70" spans="1:11" x14ac:dyDescent="0.2">
      <c r="A70" s="31" t="s">
        <v>47</v>
      </c>
      <c r="B70" s="5" t="s">
        <v>25</v>
      </c>
      <c r="C70" s="5" t="s">
        <v>184</v>
      </c>
      <c r="D70" s="6">
        <v>5000</v>
      </c>
      <c r="E70" s="7">
        <f>D70*12</f>
        <v>60000</v>
      </c>
      <c r="F70" s="37">
        <f>E70</f>
        <v>60000</v>
      </c>
      <c r="G70" s="32">
        <f t="shared" si="5"/>
        <v>0</v>
      </c>
      <c r="H70" s="32"/>
      <c r="I70" s="63"/>
      <c r="J70" s="32"/>
      <c r="K70" s="92"/>
    </row>
    <row r="71" spans="1:11" x14ac:dyDescent="0.2">
      <c r="A71" s="8"/>
      <c r="B71" s="8" t="s">
        <v>5</v>
      </c>
      <c r="C71" s="8" t="s">
        <v>31</v>
      </c>
      <c r="D71" s="9"/>
      <c r="E71" s="10">
        <f>SUM(E62:E70)</f>
        <v>817050</v>
      </c>
      <c r="F71" s="10">
        <f>SUM(F62:F70)</f>
        <v>338300</v>
      </c>
      <c r="G71" s="10">
        <f t="shared" si="5"/>
        <v>478750</v>
      </c>
      <c r="H71" s="10">
        <v>449900</v>
      </c>
      <c r="I71" s="63">
        <f t="shared" ref="I71:I72" si="6">G71-H71</f>
        <v>28850</v>
      </c>
      <c r="J71" s="10">
        <f>I71/H71*100</f>
        <v>6.4125361191375863</v>
      </c>
      <c r="K71" s="5"/>
    </row>
    <row r="72" spans="1:11" s="29" customFormat="1" ht="15.75" x14ac:dyDescent="0.2">
      <c r="A72" s="82" t="s">
        <v>26</v>
      </c>
      <c r="B72" s="83"/>
      <c r="C72" s="84"/>
      <c r="D72" s="39"/>
      <c r="E72" s="40">
        <f>E8+E14+E30+E35+E44+E54+E57+E60+E71</f>
        <v>5001027.4000000004</v>
      </c>
      <c r="F72" s="40">
        <f>F8+F14+F30+F35+F44+F54+F57+F60+F71</f>
        <v>3872817</v>
      </c>
      <c r="G72" s="40">
        <f>E72-F72</f>
        <v>1128210.4000000004</v>
      </c>
      <c r="H72" s="40">
        <f>H8+H14+H30+H35+H44+H54+H57+H60+H71</f>
        <v>1043165.4</v>
      </c>
      <c r="I72" s="63">
        <f t="shared" si="6"/>
        <v>85045.000000000349</v>
      </c>
      <c r="J72" s="67">
        <f>I72/H72*100</f>
        <v>8.1525901836851897</v>
      </c>
      <c r="K72" s="59" t="s">
        <v>191</v>
      </c>
    </row>
    <row r="73" spans="1:11" ht="15.75" x14ac:dyDescent="0.2">
      <c r="A73" s="85"/>
      <c r="B73" s="86"/>
      <c r="C73" s="86"/>
      <c r="D73" s="86"/>
      <c r="E73" s="87"/>
      <c r="F73" s="41" t="s">
        <v>121</v>
      </c>
      <c r="G73" s="42">
        <f>G72/71.29</f>
        <v>15825.647355870393</v>
      </c>
      <c r="H73" s="42">
        <v>15153</v>
      </c>
      <c r="I73" s="42">
        <f>G73-H73</f>
        <v>672.64735587039286</v>
      </c>
      <c r="J73" s="67">
        <f>I73/H73*100</f>
        <v>4.4390375230673325</v>
      </c>
      <c r="K73" s="66" t="s">
        <v>190</v>
      </c>
    </row>
    <row r="74" spans="1:11" s="30" customFormat="1" ht="47.25" x14ac:dyDescent="0.2">
      <c r="A74" s="79" t="s">
        <v>27</v>
      </c>
      <c r="B74" s="80"/>
      <c r="C74" s="80"/>
      <c r="D74" s="80"/>
      <c r="E74" s="81"/>
      <c r="F74" s="43">
        <f>F72/E72</f>
        <v>0.77440427540948875</v>
      </c>
      <c r="G74" s="43">
        <f>G72/E72</f>
        <v>0.22559572459051119</v>
      </c>
      <c r="H74" s="88" t="s">
        <v>150</v>
      </c>
      <c r="I74" s="89"/>
      <c r="J74" s="43">
        <v>7.85E-2</v>
      </c>
      <c r="K74" s="51" t="s">
        <v>146</v>
      </c>
    </row>
    <row r="75" spans="1:11" ht="15.75" x14ac:dyDescent="0.2">
      <c r="A75" s="69" t="s">
        <v>127</v>
      </c>
      <c r="B75" s="69"/>
      <c r="C75" s="69"/>
      <c r="D75" s="69"/>
      <c r="E75" s="69"/>
      <c r="F75" s="69"/>
      <c r="G75" s="69"/>
      <c r="H75" s="55"/>
      <c r="I75" s="55"/>
      <c r="J75" s="55"/>
      <c r="K75" s="52"/>
    </row>
    <row r="76" spans="1:11" x14ac:dyDescent="0.2">
      <c r="A76" s="68" t="s">
        <v>128</v>
      </c>
      <c r="B76" s="68"/>
      <c r="C76" s="68"/>
      <c r="D76" s="68"/>
      <c r="E76" s="68"/>
      <c r="F76" s="68"/>
      <c r="G76" s="68"/>
      <c r="H76" s="54"/>
      <c r="I76" s="54"/>
      <c r="J76" s="54"/>
      <c r="K76" s="5"/>
    </row>
  </sheetData>
  <mergeCells count="22">
    <mergeCell ref="H74:I74"/>
    <mergeCell ref="A1:K1"/>
    <mergeCell ref="K16:K29"/>
    <mergeCell ref="K37:K43"/>
    <mergeCell ref="K46:K53"/>
    <mergeCell ref="K32:K34"/>
    <mergeCell ref="K62:K70"/>
    <mergeCell ref="A76:G76"/>
    <mergeCell ref="A75:G75"/>
    <mergeCell ref="A3:G3"/>
    <mergeCell ref="A4:G4"/>
    <mergeCell ref="A9:G9"/>
    <mergeCell ref="A31:G31"/>
    <mergeCell ref="A74:E74"/>
    <mergeCell ref="A72:C72"/>
    <mergeCell ref="A73:E73"/>
    <mergeCell ref="A15:G15"/>
    <mergeCell ref="A61:G61"/>
    <mergeCell ref="A36:G36"/>
    <mergeCell ref="A45:G45"/>
    <mergeCell ref="A55:G55"/>
    <mergeCell ref="A58:G58"/>
  </mergeCells>
  <phoneticPr fontId="0" type="noConversion"/>
  <hyperlinks>
    <hyperlink ref="A76" r:id="rId1" xr:uid="{00000000-0004-0000-0000-000000000000}"/>
  </hyperlinks>
  <printOptions headings="1" gridLines="1"/>
  <pageMargins left="0.74791666666666701" right="0.74791666666666701" top="0.98402777777777795" bottom="0.98402777777777795" header="0.51180555555555596" footer="0.51180555555555596"/>
  <pageSetup scale="75" firstPageNumber="0" orientation="portrait" r:id="rId2"/>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Dileep Bhat</cp:lastModifiedBy>
  <cp:lastPrinted>2014-02-23T20:39:20Z</cp:lastPrinted>
  <dcterms:created xsi:type="dcterms:W3CDTF">2008-08-28T05:54:17Z</dcterms:created>
  <dcterms:modified xsi:type="dcterms:W3CDTF">2019-09-09T00:55:30Z</dcterms:modified>
</cp:coreProperties>
</file>