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13_ncr:1_{E37A9744-1778-4024-A92D-8EBF5F597FBA}" xr6:coauthVersionLast="40" xr6:coauthVersionMax="40" xr10:uidLastSave="{00000000-0000-0000-0000-000000000000}"/>
  <bookViews>
    <workbookView xWindow="0" yWindow="0" windowWidth="23040" windowHeight="8988" activeTab="2" xr2:uid="{00000000-000D-0000-FFFF-FFFF00000000}"/>
  </bookViews>
  <sheets>
    <sheet name="Staff Salary Budget 2018-19" sheetId="1" r:id="rId1"/>
    <sheet name="DBRT Budget 2018-19" sheetId="7" r:id="rId2"/>
    <sheet name="2017-18 Expences Report " sheetId="8" r:id="rId3"/>
  </sheets>
  <definedNames>
    <definedName name="_xlnm.Print_Area" localSheetId="0">'Staff Salary Budget 2018-19'!$A$4:$T$22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4" i="8" l="1"/>
  <c r="I23" i="8"/>
  <c r="I22" i="8"/>
  <c r="I16" i="8"/>
  <c r="I17" i="8" s="1"/>
  <c r="I25" i="8" l="1"/>
  <c r="I18" i="8"/>
  <c r="M20" i="1"/>
  <c r="N20" i="1" s="1"/>
  <c r="S20" i="1" s="1"/>
  <c r="T20" i="1" s="1"/>
  <c r="M26" i="7" l="1"/>
  <c r="J5" i="8"/>
  <c r="J10" i="8" l="1"/>
  <c r="J8" i="8"/>
  <c r="M10" i="7"/>
  <c r="M7" i="1"/>
  <c r="N7" i="1" s="1"/>
  <c r="M8" i="1"/>
  <c r="M9" i="1"/>
  <c r="N9" i="1" s="1"/>
  <c r="M11" i="1"/>
  <c r="N11" i="1" s="1"/>
  <c r="M12" i="1"/>
  <c r="N12" i="1" s="1"/>
  <c r="M14" i="1"/>
  <c r="N14" i="1" s="1"/>
  <c r="M15" i="1"/>
  <c r="M16" i="1"/>
  <c r="M17" i="1"/>
  <c r="N17" i="1" s="1"/>
  <c r="M18" i="1"/>
  <c r="N18" i="1" s="1"/>
  <c r="S18" i="1" s="1"/>
  <c r="M19" i="1"/>
  <c r="N19" i="1" s="1"/>
  <c r="S19" i="1" s="1"/>
  <c r="T19" i="1" s="1"/>
  <c r="M6" i="1"/>
  <c r="N6" i="1" s="1"/>
  <c r="N8" i="1"/>
  <c r="N15" i="1"/>
  <c r="N16" i="1"/>
  <c r="O7" i="1"/>
  <c r="O6" i="1"/>
  <c r="O8" i="1"/>
  <c r="P12" i="1"/>
  <c r="P11" i="1"/>
  <c r="J16" i="8" l="1"/>
  <c r="J17" i="8" s="1"/>
  <c r="J18" i="8" s="1"/>
  <c r="T18" i="1"/>
  <c r="J25" i="8"/>
  <c r="S17" i="1" l="1"/>
  <c r="T17" i="1" s="1"/>
  <c r="O12" i="1" l="1"/>
  <c r="O9" i="1"/>
  <c r="S9" i="1" l="1"/>
  <c r="T9" i="1" s="1"/>
  <c r="S8" i="1"/>
  <c r="T8" i="1" s="1"/>
  <c r="S12" i="1"/>
  <c r="T12" i="1" s="1"/>
  <c r="A13" i="1" l="1"/>
  <c r="I13" i="1" l="1"/>
  <c r="L13" i="1" s="1"/>
  <c r="I11" i="1"/>
  <c r="I8" i="1"/>
  <c r="L10" i="1"/>
  <c r="P10" i="1" l="1"/>
  <c r="M10" i="1"/>
  <c r="N10" i="1" s="1"/>
  <c r="M13" i="1"/>
  <c r="N13" i="1"/>
  <c r="O11" i="1"/>
  <c r="O10" i="1"/>
  <c r="P7" i="1"/>
  <c r="S7" i="1" s="1"/>
  <c r="P6" i="1"/>
  <c r="S6" i="1" s="1"/>
  <c r="T6" i="1" l="1"/>
  <c r="S14" i="1"/>
  <c r="T14" i="1" s="1"/>
  <c r="S15" i="1"/>
  <c r="T15" i="1" s="1"/>
  <c r="S10" i="1"/>
  <c r="T10" i="1" s="1"/>
  <c r="S16" i="1"/>
  <c r="T16" i="1" s="1"/>
  <c r="S13" i="1"/>
  <c r="T13" i="1" s="1"/>
  <c r="S11" i="1"/>
  <c r="T11" i="1" s="1"/>
  <c r="S21" i="1" l="1"/>
  <c r="M5" i="7" s="1"/>
  <c r="M16" i="7" s="1"/>
  <c r="M17" i="7" s="1"/>
  <c r="M18" i="7" s="1"/>
  <c r="T7" i="1"/>
</calcChain>
</file>

<file path=xl/sharedStrings.xml><?xml version="1.0" encoding="utf-8"?>
<sst xmlns="http://schemas.openxmlformats.org/spreadsheetml/2006/main" count="124" uniqueCount="84">
  <si>
    <t>Project</t>
  </si>
  <si>
    <t xml:space="preserve">Man Power </t>
  </si>
  <si>
    <t>Alaka Jadhav</t>
  </si>
  <si>
    <t>Kausabai Deshmukh</t>
  </si>
  <si>
    <t>Laxaman Jadhav (W)</t>
  </si>
  <si>
    <t>Inst</t>
  </si>
  <si>
    <t>Accountant</t>
  </si>
  <si>
    <t xml:space="preserve">kitchen </t>
  </si>
  <si>
    <t>Position</t>
  </si>
  <si>
    <t>Annual basic salary (A)</t>
  </si>
  <si>
    <t>annual PF contribution(B)</t>
  </si>
  <si>
    <t>Gratuity contribution (D)</t>
  </si>
  <si>
    <t>Performance credit(A+,A,B, C, D)</t>
  </si>
  <si>
    <t>Per month cost to organisation</t>
  </si>
  <si>
    <t>Present Salary Per month</t>
  </si>
  <si>
    <t>Incentives earned( A, B,C,D,E)</t>
  </si>
  <si>
    <t>M-1000</t>
  </si>
  <si>
    <t>B-5%, A-10%, A+- 15%</t>
  </si>
  <si>
    <t>B-5%, A-10%, A+- 15%, D- 0%</t>
  </si>
  <si>
    <t>B</t>
  </si>
  <si>
    <t>Rationalizing</t>
  </si>
  <si>
    <t>A</t>
  </si>
  <si>
    <t>Residence on field and meditation</t>
  </si>
  <si>
    <t>12% upto 15000</t>
  </si>
  <si>
    <t>Total cost to Vigyan Ashram per annum</t>
  </si>
  <si>
    <t>Insurance</t>
  </si>
  <si>
    <t>Earn Leave(C)</t>
  </si>
  <si>
    <t>DBRT</t>
  </si>
  <si>
    <t xml:space="preserve">DBRT Expenses </t>
  </si>
  <si>
    <t>Salary of staff</t>
  </si>
  <si>
    <t xml:space="preserve">Food expenses </t>
  </si>
  <si>
    <t>(Rs.3000 per month * 12 month * 60 students)</t>
  </si>
  <si>
    <t xml:space="preserve">Consumbles and others </t>
  </si>
  <si>
    <t>(Rs.1000 per month * 12 * 60 students)</t>
  </si>
  <si>
    <t>Electricity, water and other</t>
  </si>
  <si>
    <t>Rs.1500 per student * 60</t>
  </si>
  <si>
    <t>NIOS admission + Exam fees</t>
  </si>
  <si>
    <t xml:space="preserve">Travel and other incidentals </t>
  </si>
  <si>
    <t>(Rs.10000 per month * 12 month)</t>
  </si>
  <si>
    <t>Sub Total</t>
  </si>
  <si>
    <t>TOTAL Expenses</t>
  </si>
  <si>
    <t>Support from Asha for Education</t>
  </si>
  <si>
    <t>INCOME</t>
  </si>
  <si>
    <t>TOTAL INCOME</t>
  </si>
  <si>
    <t>**** Deficit in Income / Expenses is met from individual donations and community services.</t>
  </si>
  <si>
    <t>Vishal Jagatap (Princ)</t>
  </si>
  <si>
    <t xml:space="preserve">Admin overheads 6% </t>
  </si>
  <si>
    <t>Pooja Jadhav(Computer)</t>
  </si>
  <si>
    <t xml:space="preserve">Fulabai Jadhav </t>
  </si>
  <si>
    <t xml:space="preserve">Vaijanta Narhe </t>
  </si>
  <si>
    <t>Approx.Rs.1500/-</t>
  </si>
  <si>
    <t>*** Rs.33000 fees includes food / lodging / tuition fees for students.  Students pays in small installment throughout the year.</t>
  </si>
  <si>
    <t xml:space="preserve">Fees from students </t>
  </si>
  <si>
    <t xml:space="preserve">Asha Grant </t>
  </si>
  <si>
    <t xml:space="preserve">DBRT 2018-19 Budget </t>
  </si>
  <si>
    <t>Reshma Hawaldar (Food)</t>
  </si>
  <si>
    <t>Karishma Gaikwad(Acc)</t>
  </si>
  <si>
    <t xml:space="preserve">Rajabhau Pingale </t>
  </si>
  <si>
    <t>Agri -Support Staff</t>
  </si>
  <si>
    <t xml:space="preserve">Agri DBRT Suport Staff </t>
  </si>
  <si>
    <t xml:space="preserve">Abasaheb Padalkar </t>
  </si>
  <si>
    <t>Currant  Salary</t>
  </si>
  <si>
    <t xml:space="preserve">10% Rewised </t>
  </si>
  <si>
    <t>12 Month  Cost</t>
  </si>
  <si>
    <t>(Rs.7000 per month)</t>
  </si>
  <si>
    <t>Projected Grant FY 2018-19</t>
  </si>
  <si>
    <t xml:space="preserve">Support expected from EATON </t>
  </si>
  <si>
    <t xml:space="preserve">Actual DBRT 2017-18 Expences </t>
  </si>
  <si>
    <t xml:space="preserve">Expected  EATON Support </t>
  </si>
  <si>
    <t xml:space="preserve">Fees Received from students </t>
  </si>
  <si>
    <t xml:space="preserve">Support Received from EATON </t>
  </si>
  <si>
    <t xml:space="preserve">Fees of DBRT student  Received - 2017-18 </t>
  </si>
  <si>
    <t xml:space="preserve">Sima Pingale </t>
  </si>
  <si>
    <t xml:space="preserve">Harshda Raut </t>
  </si>
  <si>
    <t>Budget -2017-18</t>
  </si>
  <si>
    <t xml:space="preserve">Sewing Lab </t>
  </si>
  <si>
    <t xml:space="preserve">Sr.No </t>
  </si>
  <si>
    <t>Omkar Rawal ( Agri)</t>
  </si>
  <si>
    <t>Suyog Warghade( Elec)</t>
  </si>
  <si>
    <t>(EATON  Foundation  Support )</t>
  </si>
  <si>
    <t xml:space="preserve">Actual DBRT 2017-18 Expenses </t>
  </si>
  <si>
    <t xml:space="preserve"> Expected fees of DBRT student for 2018-2019 )</t>
  </si>
  <si>
    <t xml:space="preserve">There are 50% students who apply for loan schlarship. </t>
  </si>
  <si>
    <t>Note: Funds disbursed by Asha for year 2017-2018 were 12,65,000. Since the expenses were less than the budgeted amount, the remaining Rs. 265,000 was used towards the DBRT hostel 1st floor construction which was funded separately  by Asha.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</si>
</sst>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16"/>
      <color theme="1"/>
      <name val="Calibri"/>
      <family val="2"/>
      <scheme val="minor"/>
    </font>
    <font>
      <b/>
      <sz val="16"/>
      <color indexed="8"/>
      <name val="Calibri"/>
      <family val="2"/>
    </font>
    <font>
      <b/>
      <sz val="16"/>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12"/>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89">
    <xf numFmtId="0" fontId="0" fillId="0" borderId="0" xfId="0"/>
    <xf numFmtId="0" fontId="0" fillId="0" borderId="2" xfId="0" applyBorder="1"/>
    <xf numFmtId="0" fontId="0" fillId="0" borderId="0" xfId="0" applyBorder="1"/>
    <xf numFmtId="0" fontId="0" fillId="0" borderId="0" xfId="0" applyAlignment="1">
      <alignment horizontal="center"/>
    </xf>
    <xf numFmtId="0" fontId="0" fillId="0" borderId="1" xfId="0" applyBorder="1" applyAlignment="1">
      <alignment horizontal="center"/>
    </xf>
    <xf numFmtId="0" fontId="0" fillId="0" borderId="2" xfId="0" applyFill="1" applyBorder="1"/>
    <xf numFmtId="0" fontId="0" fillId="3" borderId="2" xfId="0" applyFill="1" applyBorder="1"/>
    <xf numFmtId="0" fontId="0" fillId="3" borderId="2" xfId="0" applyFill="1" applyBorder="1" applyAlignment="1">
      <alignment wrapText="1"/>
    </xf>
    <xf numFmtId="0" fontId="0" fillId="0" borderId="2" xfId="0" applyBorder="1" applyAlignment="1">
      <alignment horizontal="center" vertical="top" wrapText="1"/>
    </xf>
    <xf numFmtId="16" fontId="0" fillId="0" borderId="2" xfId="0" applyNumberFormat="1" applyBorder="1" applyAlignment="1">
      <alignment horizontal="center" vertical="top" wrapText="1"/>
    </xf>
    <xf numFmtId="0" fontId="0" fillId="0" borderId="3" xfId="0" applyBorder="1" applyAlignment="1">
      <alignment horizontal="center" vertical="top" wrapText="1"/>
    </xf>
    <xf numFmtId="0" fontId="0" fillId="3" borderId="2" xfId="0" applyFill="1" applyBorder="1" applyAlignment="1">
      <alignment vertical="top" wrapText="1"/>
    </xf>
    <xf numFmtId="0" fontId="0" fillId="0" borderId="2" xfId="0" applyBorder="1" applyAlignment="1">
      <alignment vertical="top" wrapText="1"/>
    </xf>
    <xf numFmtId="0" fontId="0" fillId="0" borderId="0" xfId="0" applyAlignment="1">
      <alignment vertical="top" wrapText="1"/>
    </xf>
    <xf numFmtId="1" fontId="0" fillId="3" borderId="2" xfId="0" applyNumberFormat="1" applyFill="1" applyBorder="1"/>
    <xf numFmtId="1" fontId="0" fillId="0" borderId="2" xfId="0" applyNumberFormat="1" applyBorder="1"/>
    <xf numFmtId="0" fontId="1" fillId="0" borderId="0" xfId="0" applyFont="1"/>
    <xf numFmtId="0" fontId="1" fillId="0" borderId="3" xfId="0" applyFont="1" applyBorder="1" applyAlignment="1">
      <alignment horizontal="center" vertical="top" wrapText="1"/>
    </xf>
    <xf numFmtId="0" fontId="1" fillId="0" borderId="0" xfId="0" applyFont="1" applyBorder="1"/>
    <xf numFmtId="1" fontId="3" fillId="0" borderId="0" xfId="0" applyNumberFormat="1" applyFont="1"/>
    <xf numFmtId="0" fontId="0" fillId="3" borderId="3" xfId="0" applyFill="1" applyBorder="1" applyAlignment="1">
      <alignment horizontal="center" vertical="top" wrapText="1"/>
    </xf>
    <xf numFmtId="0" fontId="4" fillId="2" borderId="2" xfId="0" applyFont="1" applyFill="1" applyBorder="1" applyAlignment="1">
      <alignment horizontal="center"/>
    </xf>
    <xf numFmtId="0" fontId="5" fillId="2" borderId="2" xfId="0" applyFont="1" applyFill="1" applyBorder="1"/>
    <xf numFmtId="0" fontId="4" fillId="2" borderId="2" xfId="0" applyFont="1" applyFill="1" applyBorder="1"/>
    <xf numFmtId="1" fontId="5" fillId="2" borderId="2" xfId="0" applyNumberFormat="1" applyFont="1" applyFill="1" applyBorder="1"/>
    <xf numFmtId="0" fontId="7" fillId="0" borderId="4" xfId="0" applyFont="1" applyBorder="1" applyAlignment="1">
      <alignment horizontal="center"/>
    </xf>
    <xf numFmtId="0" fontId="7" fillId="0" borderId="0" xfId="0" applyFont="1" applyBorder="1"/>
    <xf numFmtId="0" fontId="7" fillId="0" borderId="4" xfId="0" applyFont="1" applyBorder="1"/>
    <xf numFmtId="0" fontId="0" fillId="0" borderId="0" xfId="0" applyAlignment="1">
      <alignment horizontal="left"/>
    </xf>
    <xf numFmtId="0" fontId="8" fillId="0" borderId="6" xfId="0" applyFont="1" applyBorder="1" applyAlignment="1">
      <alignment horizontal="center"/>
    </xf>
    <xf numFmtId="0" fontId="8" fillId="0" borderId="7" xfId="0" applyFont="1" applyBorder="1"/>
    <xf numFmtId="0" fontId="8" fillId="0" borderId="8" xfId="0" applyFont="1" applyBorder="1"/>
    <xf numFmtId="0" fontId="8" fillId="0" borderId="5" xfId="0" applyFont="1" applyBorder="1"/>
    <xf numFmtId="0" fontId="7" fillId="0" borderId="9" xfId="0" applyFont="1" applyBorder="1"/>
    <xf numFmtId="0" fontId="3" fillId="0" borderId="6" xfId="0" applyFont="1" applyBorder="1" applyAlignment="1">
      <alignment horizontal="center"/>
    </xf>
    <xf numFmtId="0" fontId="2" fillId="0" borderId="8" xfId="0" applyFont="1" applyBorder="1"/>
    <xf numFmtId="0" fontId="3" fillId="0" borderId="8" xfId="0" applyFont="1" applyBorder="1"/>
    <xf numFmtId="0" fontId="0" fillId="0" borderId="10" xfId="0" applyBorder="1"/>
    <xf numFmtId="0" fontId="3" fillId="0" borderId="11" xfId="0" applyFont="1" applyBorder="1" applyAlignment="1">
      <alignment horizontal="center"/>
    </xf>
    <xf numFmtId="0" fontId="1" fillId="0" borderId="8" xfId="0" applyFont="1" applyBorder="1"/>
    <xf numFmtId="0" fontId="0" fillId="0" borderId="8" xfId="0" applyBorder="1"/>
    <xf numFmtId="0" fontId="3" fillId="0" borderId="10" xfId="0" applyFont="1" applyBorder="1" applyAlignment="1">
      <alignment horizontal="center"/>
    </xf>
    <xf numFmtId="0" fontId="0" fillId="0" borderId="0" xfId="0" applyBorder="1" applyAlignment="1">
      <alignment horizontal="center"/>
    </xf>
    <xf numFmtId="1" fontId="7" fillId="0" borderId="14" xfId="0" applyNumberFormat="1" applyFont="1" applyBorder="1"/>
    <xf numFmtId="0" fontId="7" fillId="0" borderId="1" xfId="0" applyFont="1" applyFill="1" applyBorder="1" applyAlignment="1">
      <alignment horizontal="center"/>
    </xf>
    <xf numFmtId="0" fontId="7" fillId="0" borderId="0" xfId="0" applyFont="1" applyFill="1" applyBorder="1"/>
    <xf numFmtId="0" fontId="7" fillId="0" borderId="1" xfId="0" applyFont="1" applyFill="1" applyBorder="1"/>
    <xf numFmtId="0" fontId="0" fillId="4" borderId="1" xfId="0" applyFill="1" applyBorder="1" applyAlignment="1">
      <alignment horizontal="center"/>
    </xf>
    <xf numFmtId="0" fontId="0" fillId="4" borderId="0" xfId="0" applyFill="1" applyBorder="1"/>
    <xf numFmtId="0" fontId="1" fillId="4" borderId="0" xfId="0" applyFont="1" applyFill="1" applyBorder="1"/>
    <xf numFmtId="1" fontId="7" fillId="0" borderId="13" xfId="0" applyNumberFormat="1" applyFont="1" applyFill="1" applyBorder="1"/>
    <xf numFmtId="0" fontId="7" fillId="0" borderId="0" xfId="0" applyFont="1"/>
    <xf numFmtId="0" fontId="7" fillId="0" borderId="12" xfId="0" applyFont="1" applyBorder="1"/>
    <xf numFmtId="0" fontId="7" fillId="0" borderId="1" xfId="0" applyFont="1" applyBorder="1"/>
    <xf numFmtId="3" fontId="7" fillId="4" borderId="1" xfId="0" applyNumberFormat="1" applyFont="1" applyFill="1" applyBorder="1"/>
    <xf numFmtId="1" fontId="0" fillId="0" borderId="0" xfId="0" applyNumberFormat="1"/>
    <xf numFmtId="0" fontId="9" fillId="0" borderId="0" xfId="1"/>
    <xf numFmtId="0" fontId="0" fillId="0" borderId="0" xfId="0" applyAlignment="1">
      <alignment horizontal="center"/>
    </xf>
    <xf numFmtId="3" fontId="8" fillId="0" borderId="12" xfId="0" applyNumberFormat="1" applyFont="1" applyBorder="1"/>
    <xf numFmtId="0" fontId="0" fillId="0" borderId="0" xfId="0" applyAlignment="1">
      <alignment horizontal="center"/>
    </xf>
    <xf numFmtId="1" fontId="6" fillId="2" borderId="2" xfId="0" applyNumberFormat="1" applyFont="1" applyFill="1" applyBorder="1"/>
    <xf numFmtId="0" fontId="0" fillId="0" borderId="2" xfId="0" applyFill="1" applyBorder="1" applyAlignment="1">
      <alignment horizontal="center"/>
    </xf>
    <xf numFmtId="0" fontId="1" fillId="0" borderId="2" xfId="0" applyFont="1" applyBorder="1"/>
    <xf numFmtId="0" fontId="0" fillId="0" borderId="2" xfId="0" applyBorder="1" applyAlignment="1">
      <alignment wrapText="1"/>
    </xf>
    <xf numFmtId="0" fontId="0" fillId="0" borderId="2" xfId="0" applyBorder="1" applyAlignment="1">
      <alignment horizontal="center"/>
    </xf>
    <xf numFmtId="0" fontId="1" fillId="0" borderId="2" xfId="0" applyFont="1" applyFill="1" applyBorder="1"/>
    <xf numFmtId="0" fontId="1" fillId="0" borderId="2" xfId="0" applyFont="1" applyFill="1" applyBorder="1" applyAlignment="1">
      <alignment wrapText="1"/>
    </xf>
    <xf numFmtId="0" fontId="4" fillId="2" borderId="2" xfId="0" applyFont="1" applyFill="1" applyBorder="1" applyAlignment="1">
      <alignment wrapText="1"/>
    </xf>
    <xf numFmtId="1" fontId="7" fillId="0" borderId="9" xfId="0" applyNumberFormat="1" applyFont="1" applyBorder="1"/>
    <xf numFmtId="1" fontId="0" fillId="0" borderId="0" xfId="0" applyNumberFormat="1" applyBorder="1"/>
    <xf numFmtId="3" fontId="0" fillId="0" borderId="0" xfId="0" applyNumberFormat="1"/>
    <xf numFmtId="0" fontId="4" fillId="2" borderId="0" xfId="0" applyFont="1" applyFill="1" applyAlignment="1">
      <alignment horizontal="center"/>
    </xf>
    <xf numFmtId="164" fontId="0" fillId="0" borderId="0" xfId="0" applyNumberFormat="1"/>
    <xf numFmtId="0" fontId="8" fillId="0" borderId="5" xfId="0" applyFont="1" applyBorder="1" applyAlignment="1">
      <alignment horizontal="center" vertical="center" wrapText="1"/>
    </xf>
    <xf numFmtId="0" fontId="7" fillId="0" borderId="16" xfId="0" applyFont="1" applyBorder="1"/>
    <xf numFmtId="3" fontId="7" fillId="4" borderId="16" xfId="0" applyNumberFormat="1" applyFont="1" applyFill="1" applyBorder="1"/>
    <xf numFmtId="3" fontId="7" fillId="0" borderId="17" xfId="0" applyNumberFormat="1" applyFont="1" applyBorder="1"/>
    <xf numFmtId="0" fontId="0" fillId="0" borderId="13" xfId="0" applyBorder="1"/>
    <xf numFmtId="3" fontId="7" fillId="4" borderId="9" xfId="0" applyNumberFormat="1" applyFont="1" applyFill="1" applyBorder="1"/>
    <xf numFmtId="0" fontId="7" fillId="0" borderId="9" xfId="0" applyFont="1" applyFill="1" applyBorder="1"/>
    <xf numFmtId="0" fontId="7" fillId="0" borderId="14" xfId="0" applyFont="1" applyBorder="1"/>
    <xf numFmtId="0" fontId="8" fillId="0" borderId="5" xfId="0" applyFont="1" applyBorder="1" applyAlignment="1">
      <alignment horizontal="center" vertical="center"/>
    </xf>
    <xf numFmtId="0" fontId="7" fillId="4" borderId="9" xfId="0" applyFont="1" applyFill="1" applyBorder="1"/>
    <xf numFmtId="1" fontId="10" fillId="4" borderId="9" xfId="0" applyNumberFormat="1" applyFont="1" applyFill="1" applyBorder="1"/>
    <xf numFmtId="0" fontId="0" fillId="0" borderId="0" xfId="0" applyAlignment="1">
      <alignment horizontal="center"/>
    </xf>
    <xf numFmtId="0" fontId="8" fillId="0" borderId="0" xfId="0" applyFont="1" applyAlignment="1">
      <alignment horizontal="center"/>
    </xf>
    <xf numFmtId="0" fontId="0" fillId="0" borderId="15" xfId="0" applyBorder="1" applyAlignment="1">
      <alignment horizontal="left"/>
    </xf>
    <xf numFmtId="0" fontId="0" fillId="0" borderId="0" xfId="0" applyAlignment="1">
      <alignment horizontal="left"/>
    </xf>
    <xf numFmtId="0" fontId="3"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2:T22"/>
  <sheetViews>
    <sheetView topLeftCell="A13" workbookViewId="0">
      <selection activeCell="M23" sqref="M23"/>
    </sheetView>
  </sheetViews>
  <sheetFormatPr defaultRowHeight="14.4" x14ac:dyDescent="0.3"/>
  <cols>
    <col min="1" max="1" width="9.21875" style="59"/>
    <col min="2" max="2" width="12.77734375" style="3" customWidth="1"/>
    <col min="3" max="3" width="25.21875" customWidth="1"/>
    <col min="4" max="4" width="11.5546875" style="16" customWidth="1"/>
    <col min="5" max="6" width="11.77734375" hidden="1" customWidth="1"/>
    <col min="7" max="7" width="17.5546875" hidden="1" customWidth="1"/>
    <col min="8" max="8" width="6.77734375" hidden="1" customWidth="1"/>
    <col min="9" max="9" width="15.77734375" hidden="1" customWidth="1"/>
    <col min="10" max="10" width="7" hidden="1" customWidth="1"/>
    <col min="11" max="11" width="11.44140625" hidden="1" customWidth="1"/>
    <col min="12" max="12" width="13.21875" customWidth="1"/>
    <col min="13" max="13" width="15" customWidth="1"/>
    <col min="14" max="14" width="11.21875" customWidth="1"/>
    <col min="15" max="15" width="14.44140625" customWidth="1"/>
    <col min="16" max="16" width="14.77734375" customWidth="1"/>
    <col min="17" max="17" width="16.77734375" customWidth="1"/>
    <col min="18" max="19" width="13.21875" customWidth="1"/>
    <col min="20" max="20" width="13" customWidth="1"/>
  </cols>
  <sheetData>
    <row r="2" spans="1:20" x14ac:dyDescent="0.3">
      <c r="B2" s="84" t="s">
        <v>54</v>
      </c>
      <c r="C2" s="84"/>
      <c r="D2" s="84"/>
      <c r="E2" s="84"/>
      <c r="F2" s="84"/>
      <c r="G2" s="84"/>
      <c r="H2" s="84"/>
      <c r="I2" s="84"/>
      <c r="J2" s="84"/>
      <c r="K2" s="84"/>
      <c r="L2" s="84"/>
      <c r="M2" s="84"/>
      <c r="N2" s="84"/>
      <c r="O2" s="84"/>
      <c r="P2" s="84"/>
      <c r="Q2" s="84"/>
      <c r="R2" s="84"/>
      <c r="S2" s="84"/>
      <c r="T2" s="84"/>
    </row>
    <row r="4" spans="1:20" s="13" customFormat="1" ht="43.2" x14ac:dyDescent="0.3">
      <c r="A4" s="8" t="s">
        <v>76</v>
      </c>
      <c r="B4" s="9" t="s">
        <v>0</v>
      </c>
      <c r="C4" s="8" t="s">
        <v>1</v>
      </c>
      <c r="D4" s="17" t="s">
        <v>8</v>
      </c>
      <c r="E4" s="10" t="s">
        <v>14</v>
      </c>
      <c r="F4" s="10" t="s">
        <v>22</v>
      </c>
      <c r="G4" s="10" t="s">
        <v>15</v>
      </c>
      <c r="H4" s="10"/>
      <c r="I4" s="10" t="s">
        <v>12</v>
      </c>
      <c r="J4" s="10"/>
      <c r="K4" s="10" t="s">
        <v>20</v>
      </c>
      <c r="L4" s="20" t="s">
        <v>61</v>
      </c>
      <c r="M4" s="20" t="s">
        <v>62</v>
      </c>
      <c r="N4" s="11" t="s">
        <v>9</v>
      </c>
      <c r="O4" s="11" t="s">
        <v>10</v>
      </c>
      <c r="P4" s="11" t="s">
        <v>26</v>
      </c>
      <c r="Q4" s="11" t="s">
        <v>11</v>
      </c>
      <c r="R4" s="11" t="s">
        <v>25</v>
      </c>
      <c r="S4" s="11" t="s">
        <v>24</v>
      </c>
      <c r="T4" s="12" t="s">
        <v>13</v>
      </c>
    </row>
    <row r="5" spans="1:20" ht="30" customHeight="1" x14ac:dyDescent="0.3">
      <c r="A5" s="64"/>
      <c r="B5" s="61"/>
      <c r="C5" s="1"/>
      <c r="D5" s="62"/>
      <c r="E5" s="1"/>
      <c r="F5" s="1" t="s">
        <v>16</v>
      </c>
      <c r="G5" s="63" t="s">
        <v>18</v>
      </c>
      <c r="H5" s="63"/>
      <c r="I5" s="63" t="s">
        <v>17</v>
      </c>
      <c r="J5" s="63"/>
      <c r="K5" s="1"/>
      <c r="L5" s="1"/>
      <c r="M5" s="1" t="s">
        <v>63</v>
      </c>
      <c r="N5" s="6"/>
      <c r="O5" s="6" t="s">
        <v>23</v>
      </c>
      <c r="P5" s="6"/>
      <c r="Q5" s="7" t="s">
        <v>50</v>
      </c>
      <c r="R5" s="7"/>
      <c r="S5" s="6"/>
      <c r="T5" s="1"/>
    </row>
    <row r="6" spans="1:20" ht="30" customHeight="1" x14ac:dyDescent="0.3">
      <c r="A6" s="64">
        <v>1</v>
      </c>
      <c r="B6" s="64" t="s">
        <v>27</v>
      </c>
      <c r="C6" s="1" t="s">
        <v>4</v>
      </c>
      <c r="D6" s="62" t="s">
        <v>5</v>
      </c>
      <c r="E6" s="1">
        <v>11132</v>
      </c>
      <c r="F6" s="1">
        <v>1000</v>
      </c>
      <c r="G6" s="1">
        <v>0</v>
      </c>
      <c r="H6" s="1"/>
      <c r="I6" s="1">
        <v>556</v>
      </c>
      <c r="J6" s="1" t="s">
        <v>19</v>
      </c>
      <c r="K6" s="1">
        <v>0</v>
      </c>
      <c r="L6" s="1">
        <v>15607</v>
      </c>
      <c r="M6" s="1">
        <f>+L6/100*10*12</f>
        <v>18728.399999999998</v>
      </c>
      <c r="N6" s="6">
        <f>L6*12+M6</f>
        <v>206012.4</v>
      </c>
      <c r="O6" s="6">
        <f>1800*12</f>
        <v>21600</v>
      </c>
      <c r="P6" s="14">
        <f>L6</f>
        <v>15607</v>
      </c>
      <c r="Q6" s="14">
        <v>1500</v>
      </c>
      <c r="R6" s="14">
        <v>340</v>
      </c>
      <c r="S6" s="14">
        <f>N6+O6+P6+Q6+R6</f>
        <v>245059.4</v>
      </c>
      <c r="T6" s="15">
        <f t="shared" ref="T6:T20" si="0">S6/12</f>
        <v>20421.616666666665</v>
      </c>
    </row>
    <row r="7" spans="1:20" ht="30" customHeight="1" x14ac:dyDescent="0.3">
      <c r="A7" s="64">
        <v>2</v>
      </c>
      <c r="B7" s="64" t="s">
        <v>27</v>
      </c>
      <c r="C7" s="1" t="s">
        <v>45</v>
      </c>
      <c r="D7" s="62" t="s">
        <v>5</v>
      </c>
      <c r="E7" s="1">
        <v>11132</v>
      </c>
      <c r="F7" s="1">
        <v>1500</v>
      </c>
      <c r="G7" s="1">
        <v>0</v>
      </c>
      <c r="H7" s="1"/>
      <c r="I7" s="1">
        <v>1113</v>
      </c>
      <c r="J7" s="1" t="s">
        <v>21</v>
      </c>
      <c r="K7" s="1">
        <v>500</v>
      </c>
      <c r="L7" s="1">
        <v>18682</v>
      </c>
      <c r="M7" s="1">
        <f t="shared" ref="M7:M20" si="1">+L7/100*10*12</f>
        <v>22418.399999999998</v>
      </c>
      <c r="N7" s="6">
        <f t="shared" ref="N7:N20" si="2">L7*12+M7</f>
        <v>246602.4</v>
      </c>
      <c r="O7" s="6">
        <f>1800*12</f>
        <v>21600</v>
      </c>
      <c r="P7" s="14">
        <f>L7</f>
        <v>18682</v>
      </c>
      <c r="Q7" s="14">
        <v>1500</v>
      </c>
      <c r="R7" s="14">
        <v>340</v>
      </c>
      <c r="S7" s="14">
        <f>N7+O7+P7+Q7+R7</f>
        <v>288724.40000000002</v>
      </c>
      <c r="T7" s="15">
        <f t="shared" si="0"/>
        <v>24060.366666666669</v>
      </c>
    </row>
    <row r="8" spans="1:20" ht="30" customHeight="1" x14ac:dyDescent="0.3">
      <c r="A8" s="64">
        <v>3</v>
      </c>
      <c r="B8" s="64" t="s">
        <v>27</v>
      </c>
      <c r="C8" s="1" t="s">
        <v>60</v>
      </c>
      <c r="D8" s="62" t="s">
        <v>5</v>
      </c>
      <c r="E8" s="1">
        <v>7000</v>
      </c>
      <c r="F8" s="1">
        <v>1000</v>
      </c>
      <c r="G8" s="1">
        <v>0</v>
      </c>
      <c r="H8" s="1"/>
      <c r="I8" s="1">
        <f>0.05*E8</f>
        <v>350</v>
      </c>
      <c r="J8" s="1" t="s">
        <v>19</v>
      </c>
      <c r="K8" s="1"/>
      <c r="L8" s="1">
        <v>12000</v>
      </c>
      <c r="M8" s="1">
        <f t="shared" si="1"/>
        <v>14400</v>
      </c>
      <c r="N8" s="6">
        <f t="shared" si="2"/>
        <v>158400</v>
      </c>
      <c r="O8" s="6">
        <f>0.12*L8*12</f>
        <v>17280</v>
      </c>
      <c r="P8" s="14">
        <v>0</v>
      </c>
      <c r="Q8" s="14">
        <v>1500</v>
      </c>
      <c r="R8" s="14">
        <v>340</v>
      </c>
      <c r="S8" s="14">
        <f t="shared" ref="S8:S9" si="3">N8+O8+P8+Q8+R8</f>
        <v>177520</v>
      </c>
      <c r="T8" s="15">
        <f t="shared" ref="T8:T9" si="4">S8/12</f>
        <v>14793.333333333334</v>
      </c>
    </row>
    <row r="9" spans="1:20" ht="30" customHeight="1" x14ac:dyDescent="0.3">
      <c r="A9" s="64">
        <v>4</v>
      </c>
      <c r="B9" s="64" t="s">
        <v>27</v>
      </c>
      <c r="C9" s="1" t="s">
        <v>77</v>
      </c>
      <c r="D9" s="62" t="s">
        <v>5</v>
      </c>
      <c r="E9" s="1"/>
      <c r="F9" s="1"/>
      <c r="G9" s="1"/>
      <c r="H9" s="1"/>
      <c r="I9" s="1"/>
      <c r="J9" s="1"/>
      <c r="K9" s="1"/>
      <c r="L9" s="1">
        <v>12000</v>
      </c>
      <c r="M9" s="1">
        <f t="shared" si="1"/>
        <v>14400</v>
      </c>
      <c r="N9" s="6">
        <f t="shared" si="2"/>
        <v>158400</v>
      </c>
      <c r="O9" s="6">
        <f>0.12*L9*12</f>
        <v>17280</v>
      </c>
      <c r="P9" s="14">
        <v>0</v>
      </c>
      <c r="Q9" s="14">
        <v>1500</v>
      </c>
      <c r="R9" s="14">
        <v>340</v>
      </c>
      <c r="S9" s="14">
        <f t="shared" si="3"/>
        <v>177520</v>
      </c>
      <c r="T9" s="15">
        <f t="shared" si="4"/>
        <v>14793.333333333334</v>
      </c>
    </row>
    <row r="10" spans="1:20" ht="30" customHeight="1" x14ac:dyDescent="0.3">
      <c r="A10" s="64">
        <v>4</v>
      </c>
      <c r="B10" s="64" t="s">
        <v>27</v>
      </c>
      <c r="C10" s="5" t="s">
        <v>55</v>
      </c>
      <c r="D10" s="65" t="s">
        <v>5</v>
      </c>
      <c r="E10" s="1">
        <v>7000</v>
      </c>
      <c r="F10" s="1">
        <v>1000</v>
      </c>
      <c r="G10" s="1"/>
      <c r="H10" s="1"/>
      <c r="I10" s="1"/>
      <c r="J10" s="1"/>
      <c r="K10" s="1"/>
      <c r="L10" s="1">
        <f t="shared" ref="L10:L13" si="5">SUM(E10+F10+G10+I10+K10)</f>
        <v>8000</v>
      </c>
      <c r="M10" s="1">
        <f t="shared" si="1"/>
        <v>9600</v>
      </c>
      <c r="N10" s="6">
        <f t="shared" si="2"/>
        <v>105600</v>
      </c>
      <c r="O10" s="6">
        <f>0.12*L10*12</f>
        <v>11520</v>
      </c>
      <c r="P10" s="14">
        <f>L10</f>
        <v>8000</v>
      </c>
      <c r="Q10" s="14">
        <v>0</v>
      </c>
      <c r="R10" s="14">
        <v>340</v>
      </c>
      <c r="S10" s="14">
        <f t="shared" ref="S10:S20" si="6">N10+O10+P10+Q10+R10</f>
        <v>125460</v>
      </c>
      <c r="T10" s="15">
        <f t="shared" si="0"/>
        <v>10455</v>
      </c>
    </row>
    <row r="11" spans="1:20" ht="30" customHeight="1" x14ac:dyDescent="0.3">
      <c r="A11" s="64">
        <v>5</v>
      </c>
      <c r="B11" s="64" t="s">
        <v>27</v>
      </c>
      <c r="C11" s="5" t="s">
        <v>78</v>
      </c>
      <c r="D11" s="65" t="s">
        <v>5</v>
      </c>
      <c r="E11" s="1">
        <v>8000</v>
      </c>
      <c r="F11" s="1">
        <v>1000</v>
      </c>
      <c r="G11" s="1">
        <v>0</v>
      </c>
      <c r="H11" s="1"/>
      <c r="I11" s="1">
        <f>0.05*E11</f>
        <v>400</v>
      </c>
      <c r="J11" s="1" t="s">
        <v>19</v>
      </c>
      <c r="K11" s="1"/>
      <c r="L11" s="1">
        <v>13110</v>
      </c>
      <c r="M11" s="1">
        <f t="shared" si="1"/>
        <v>15732</v>
      </c>
      <c r="N11" s="6">
        <f t="shared" si="2"/>
        <v>173052</v>
      </c>
      <c r="O11" s="6">
        <f>0.12*L11*12</f>
        <v>18878.400000000001</v>
      </c>
      <c r="P11" s="14">
        <f>L11</f>
        <v>13110</v>
      </c>
      <c r="Q11" s="14">
        <v>0</v>
      </c>
      <c r="R11" s="14">
        <v>340</v>
      </c>
      <c r="S11" s="14">
        <f t="shared" si="6"/>
        <v>205380.4</v>
      </c>
      <c r="T11" s="15">
        <f t="shared" si="0"/>
        <v>17115.033333333333</v>
      </c>
    </row>
    <row r="12" spans="1:20" ht="30" customHeight="1" x14ac:dyDescent="0.3">
      <c r="A12" s="64">
        <v>6</v>
      </c>
      <c r="B12" s="64" t="s">
        <v>27</v>
      </c>
      <c r="C12" s="5" t="s">
        <v>47</v>
      </c>
      <c r="D12" s="65" t="s">
        <v>5</v>
      </c>
      <c r="E12" s="1"/>
      <c r="F12" s="1"/>
      <c r="G12" s="1"/>
      <c r="H12" s="1"/>
      <c r="I12" s="1"/>
      <c r="J12" s="1"/>
      <c r="K12" s="1"/>
      <c r="L12" s="1">
        <v>8000</v>
      </c>
      <c r="M12" s="1">
        <f t="shared" si="1"/>
        <v>9600</v>
      </c>
      <c r="N12" s="6">
        <f t="shared" si="2"/>
        <v>105600</v>
      </c>
      <c r="O12" s="6">
        <f>0.12*L12*12</f>
        <v>11520</v>
      </c>
      <c r="P12" s="14">
        <f>L12</f>
        <v>8000</v>
      </c>
      <c r="Q12" s="14">
        <v>0</v>
      </c>
      <c r="R12" s="14">
        <v>340</v>
      </c>
      <c r="S12" s="14">
        <f t="shared" ref="S12" si="7">N12+O12+P12+Q12+R12</f>
        <v>125460</v>
      </c>
      <c r="T12" s="15">
        <f t="shared" ref="T12" si="8">S12/12</f>
        <v>10455</v>
      </c>
    </row>
    <row r="13" spans="1:20" ht="30" customHeight="1" x14ac:dyDescent="0.3">
      <c r="A13" s="64">
        <f>A11+1</f>
        <v>6</v>
      </c>
      <c r="B13" s="64" t="s">
        <v>27</v>
      </c>
      <c r="C13" s="1" t="s">
        <v>56</v>
      </c>
      <c r="D13" s="62" t="s">
        <v>6</v>
      </c>
      <c r="E13" s="1">
        <v>7000</v>
      </c>
      <c r="F13" s="1">
        <v>0</v>
      </c>
      <c r="G13" s="1">
        <v>0</v>
      </c>
      <c r="H13" s="1"/>
      <c r="I13" s="1">
        <f>0.1*E13</f>
        <v>700</v>
      </c>
      <c r="J13" s="1" t="s">
        <v>21</v>
      </c>
      <c r="K13" s="1">
        <v>300</v>
      </c>
      <c r="L13" s="1">
        <f t="shared" si="5"/>
        <v>8000</v>
      </c>
      <c r="M13" s="1">
        <f t="shared" si="1"/>
        <v>9600</v>
      </c>
      <c r="N13" s="6">
        <f t="shared" si="2"/>
        <v>105600</v>
      </c>
      <c r="O13" s="6">
        <v>0</v>
      </c>
      <c r="P13" s="14">
        <v>0</v>
      </c>
      <c r="Q13" s="14">
        <v>0</v>
      </c>
      <c r="R13" s="14">
        <v>340</v>
      </c>
      <c r="S13" s="14">
        <f t="shared" si="6"/>
        <v>105940</v>
      </c>
      <c r="T13" s="15">
        <f t="shared" si="0"/>
        <v>8828.3333333333339</v>
      </c>
    </row>
    <row r="14" spans="1:20" ht="30" customHeight="1" x14ac:dyDescent="0.3">
      <c r="A14" s="64">
        <v>7</v>
      </c>
      <c r="B14" s="64" t="s">
        <v>27</v>
      </c>
      <c r="C14" s="1" t="s">
        <v>2</v>
      </c>
      <c r="D14" s="62" t="s">
        <v>7</v>
      </c>
      <c r="E14" s="1">
        <v>4420</v>
      </c>
      <c r="F14" s="1"/>
      <c r="G14" s="1"/>
      <c r="H14" s="1"/>
      <c r="I14" s="1"/>
      <c r="J14" s="1"/>
      <c r="K14" s="1"/>
      <c r="L14" s="1">
        <v>5500</v>
      </c>
      <c r="M14" s="1">
        <f t="shared" si="1"/>
        <v>6600</v>
      </c>
      <c r="N14" s="6">
        <f t="shared" si="2"/>
        <v>72600</v>
      </c>
      <c r="O14" s="6">
        <v>0</v>
      </c>
      <c r="P14" s="14">
        <v>0</v>
      </c>
      <c r="Q14" s="14">
        <v>0</v>
      </c>
      <c r="R14" s="14">
        <v>340</v>
      </c>
      <c r="S14" s="14">
        <f t="shared" si="6"/>
        <v>72940</v>
      </c>
      <c r="T14" s="15">
        <f t="shared" si="0"/>
        <v>6078.333333333333</v>
      </c>
    </row>
    <row r="15" spans="1:20" ht="30" customHeight="1" x14ac:dyDescent="0.3">
      <c r="A15" s="64">
        <v>8</v>
      </c>
      <c r="B15" s="64" t="s">
        <v>27</v>
      </c>
      <c r="C15" s="1" t="s">
        <v>3</v>
      </c>
      <c r="D15" s="62" t="s">
        <v>7</v>
      </c>
      <c r="E15" s="1">
        <v>4420</v>
      </c>
      <c r="F15" s="1"/>
      <c r="G15" s="1"/>
      <c r="H15" s="1"/>
      <c r="I15" s="1"/>
      <c r="J15" s="1"/>
      <c r="K15" s="1"/>
      <c r="L15" s="1">
        <v>5500</v>
      </c>
      <c r="M15" s="1">
        <f t="shared" si="1"/>
        <v>6600</v>
      </c>
      <c r="N15" s="6">
        <f t="shared" si="2"/>
        <v>72600</v>
      </c>
      <c r="O15" s="6">
        <v>0</v>
      </c>
      <c r="P15" s="14">
        <v>0</v>
      </c>
      <c r="Q15" s="14">
        <v>0</v>
      </c>
      <c r="R15" s="14">
        <v>340</v>
      </c>
      <c r="S15" s="14">
        <f t="shared" si="6"/>
        <v>72940</v>
      </c>
      <c r="T15" s="15">
        <f t="shared" si="0"/>
        <v>6078.333333333333</v>
      </c>
    </row>
    <row r="16" spans="1:20" ht="30" customHeight="1" x14ac:dyDescent="0.3">
      <c r="A16" s="64">
        <v>9</v>
      </c>
      <c r="B16" s="64" t="s">
        <v>27</v>
      </c>
      <c r="C16" s="5" t="s">
        <v>48</v>
      </c>
      <c r="D16" s="65" t="s">
        <v>7</v>
      </c>
      <c r="E16" s="5">
        <v>4420</v>
      </c>
      <c r="F16" s="5"/>
      <c r="G16" s="5"/>
      <c r="H16" s="5"/>
      <c r="I16" s="5"/>
      <c r="J16" s="5"/>
      <c r="K16" s="5"/>
      <c r="L16" s="1">
        <v>5500</v>
      </c>
      <c r="M16" s="1">
        <f t="shared" si="1"/>
        <v>6600</v>
      </c>
      <c r="N16" s="6">
        <f t="shared" si="2"/>
        <v>72600</v>
      </c>
      <c r="O16" s="6">
        <v>0</v>
      </c>
      <c r="P16" s="14">
        <v>0</v>
      </c>
      <c r="Q16" s="14">
        <v>0</v>
      </c>
      <c r="R16" s="14">
        <v>340</v>
      </c>
      <c r="S16" s="14">
        <f t="shared" si="6"/>
        <v>72940</v>
      </c>
      <c r="T16" s="15">
        <f t="shared" si="0"/>
        <v>6078.333333333333</v>
      </c>
    </row>
    <row r="17" spans="1:20" ht="30" customHeight="1" x14ac:dyDescent="0.3">
      <c r="A17" s="64">
        <v>10</v>
      </c>
      <c r="B17" s="64" t="s">
        <v>27</v>
      </c>
      <c r="C17" s="5" t="s">
        <v>49</v>
      </c>
      <c r="D17" s="65" t="s">
        <v>7</v>
      </c>
      <c r="E17" s="5"/>
      <c r="F17" s="5"/>
      <c r="G17" s="5"/>
      <c r="H17" s="5"/>
      <c r="I17" s="5"/>
      <c r="J17" s="5"/>
      <c r="K17" s="5"/>
      <c r="L17" s="1">
        <v>5500</v>
      </c>
      <c r="M17" s="1">
        <f t="shared" si="1"/>
        <v>6600</v>
      </c>
      <c r="N17" s="6">
        <f t="shared" si="2"/>
        <v>72600</v>
      </c>
      <c r="O17" s="6">
        <v>0</v>
      </c>
      <c r="P17" s="14">
        <v>0</v>
      </c>
      <c r="Q17" s="14">
        <v>0</v>
      </c>
      <c r="R17" s="14">
        <v>340</v>
      </c>
      <c r="S17" s="14">
        <f t="shared" si="6"/>
        <v>72940</v>
      </c>
      <c r="T17" s="15">
        <f t="shared" si="0"/>
        <v>6078.333333333333</v>
      </c>
    </row>
    <row r="18" spans="1:20" ht="30" customHeight="1" x14ac:dyDescent="0.3">
      <c r="A18" s="64">
        <v>11</v>
      </c>
      <c r="B18" s="64" t="s">
        <v>27</v>
      </c>
      <c r="C18" s="5" t="s">
        <v>57</v>
      </c>
      <c r="D18" s="66" t="s">
        <v>58</v>
      </c>
      <c r="E18" s="5"/>
      <c r="F18" s="5"/>
      <c r="G18" s="5"/>
      <c r="H18" s="5"/>
      <c r="I18" s="5"/>
      <c r="J18" s="5"/>
      <c r="K18" s="5"/>
      <c r="L18" s="1">
        <v>9000</v>
      </c>
      <c r="M18" s="1">
        <f t="shared" si="1"/>
        <v>10800</v>
      </c>
      <c r="N18" s="6">
        <f t="shared" si="2"/>
        <v>118800</v>
      </c>
      <c r="O18" s="6">
        <v>0</v>
      </c>
      <c r="P18" s="14">
        <v>0</v>
      </c>
      <c r="Q18" s="14">
        <v>0</v>
      </c>
      <c r="R18" s="14">
        <v>340</v>
      </c>
      <c r="S18" s="14">
        <f t="shared" si="6"/>
        <v>119140</v>
      </c>
      <c r="T18" s="15">
        <f t="shared" si="0"/>
        <v>9928.3333333333339</v>
      </c>
    </row>
    <row r="19" spans="1:20" ht="30" customHeight="1" x14ac:dyDescent="0.3">
      <c r="A19" s="64">
        <v>12</v>
      </c>
      <c r="B19" s="64" t="s">
        <v>27</v>
      </c>
      <c r="C19" s="5" t="s">
        <v>72</v>
      </c>
      <c r="D19" s="66" t="s">
        <v>59</v>
      </c>
      <c r="E19" s="5"/>
      <c r="F19" s="5"/>
      <c r="G19" s="5"/>
      <c r="H19" s="5"/>
      <c r="I19" s="5"/>
      <c r="J19" s="5"/>
      <c r="K19" s="5"/>
      <c r="L19" s="1">
        <v>6000</v>
      </c>
      <c r="M19" s="1">
        <f t="shared" si="1"/>
        <v>7200</v>
      </c>
      <c r="N19" s="6">
        <f t="shared" si="2"/>
        <v>79200</v>
      </c>
      <c r="O19" s="6">
        <v>0</v>
      </c>
      <c r="P19" s="14">
        <v>0</v>
      </c>
      <c r="Q19" s="14">
        <v>0</v>
      </c>
      <c r="R19" s="14">
        <v>340</v>
      </c>
      <c r="S19" s="14">
        <f t="shared" si="6"/>
        <v>79540</v>
      </c>
      <c r="T19" s="15">
        <f t="shared" si="0"/>
        <v>6628.333333333333</v>
      </c>
    </row>
    <row r="20" spans="1:20" ht="30" customHeight="1" x14ac:dyDescent="0.3">
      <c r="A20" s="64">
        <v>13</v>
      </c>
      <c r="B20" s="64" t="s">
        <v>27</v>
      </c>
      <c r="C20" s="5" t="s">
        <v>73</v>
      </c>
      <c r="D20" s="66" t="s">
        <v>75</v>
      </c>
      <c r="E20" s="5"/>
      <c r="F20" s="5"/>
      <c r="G20" s="5"/>
      <c r="H20" s="5"/>
      <c r="I20" s="5"/>
      <c r="J20" s="5"/>
      <c r="K20" s="5"/>
      <c r="L20" s="1">
        <v>6000</v>
      </c>
      <c r="M20" s="1">
        <f t="shared" si="1"/>
        <v>7200</v>
      </c>
      <c r="N20" s="6">
        <f t="shared" si="2"/>
        <v>79200</v>
      </c>
      <c r="O20" s="6">
        <v>0</v>
      </c>
      <c r="P20" s="14">
        <v>0</v>
      </c>
      <c r="Q20" s="14">
        <v>0</v>
      </c>
      <c r="R20" s="14">
        <v>340</v>
      </c>
      <c r="S20" s="14">
        <f t="shared" si="6"/>
        <v>79540</v>
      </c>
      <c r="T20" s="15">
        <f t="shared" si="0"/>
        <v>6628.333333333333</v>
      </c>
    </row>
    <row r="21" spans="1:20" ht="30" customHeight="1" x14ac:dyDescent="0.4">
      <c r="A21" s="71"/>
      <c r="B21" s="21"/>
      <c r="C21" s="67"/>
      <c r="D21" s="67"/>
      <c r="E21" s="22"/>
      <c r="F21" s="22"/>
      <c r="G21" s="22"/>
      <c r="H21" s="22"/>
      <c r="I21" s="22"/>
      <c r="J21" s="22"/>
      <c r="K21" s="22"/>
      <c r="L21" s="23"/>
      <c r="M21" s="23"/>
      <c r="N21" s="22"/>
      <c r="O21" s="22"/>
      <c r="P21" s="24"/>
      <c r="Q21" s="24"/>
      <c r="R21" s="24"/>
      <c r="S21" s="60">
        <f>SUM(S6:S20)</f>
        <v>2021044.2</v>
      </c>
      <c r="T21" s="24"/>
    </row>
    <row r="22" spans="1:20" x14ac:dyDescent="0.3">
      <c r="S22" s="19"/>
    </row>
  </sheetData>
  <mergeCells count="1">
    <mergeCell ref="B2:T2"/>
  </mergeCells>
  <pageMargins left="0" right="0" top="0.47244094488188976" bottom="0.3543307086614173" header="0.31496062992125984" footer="0.15748031496062992"/>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2:S34"/>
  <sheetViews>
    <sheetView workbookViewId="0">
      <selection activeCell="J1" sqref="J1"/>
    </sheetView>
  </sheetViews>
  <sheetFormatPr defaultRowHeight="14.4" x14ac:dyDescent="0.3"/>
  <cols>
    <col min="11" max="11" width="5.5546875" customWidth="1"/>
    <col min="12" max="12" width="9.21875" hidden="1" customWidth="1"/>
    <col min="13" max="13" width="12.21875" customWidth="1"/>
    <col min="16" max="16" width="11.5546875" bestFit="1" customWidth="1"/>
  </cols>
  <sheetData>
    <row r="2" spans="2:13" ht="15.6" x14ac:dyDescent="0.3">
      <c r="B2" s="85" t="s">
        <v>54</v>
      </c>
      <c r="C2" s="85"/>
      <c r="D2" s="85"/>
      <c r="E2" s="85"/>
      <c r="F2" s="85"/>
      <c r="G2" s="85"/>
      <c r="H2" s="85"/>
      <c r="I2" s="85"/>
      <c r="J2" s="85"/>
      <c r="K2" s="85"/>
      <c r="L2" s="85"/>
      <c r="M2" s="85"/>
    </row>
    <row r="3" spans="2:13" ht="15" thickBot="1" x14ac:dyDescent="0.35">
      <c r="B3" s="3"/>
      <c r="D3" s="16"/>
    </row>
    <row r="4" spans="2:13" ht="16.2" thickBot="1" x14ac:dyDescent="0.35">
      <c r="B4" s="29"/>
      <c r="C4" s="30" t="s">
        <v>28</v>
      </c>
      <c r="D4" s="31"/>
      <c r="E4" s="31"/>
      <c r="F4" s="31"/>
      <c r="G4" s="31"/>
      <c r="H4" s="31"/>
      <c r="I4" s="31"/>
      <c r="J4" s="31"/>
      <c r="K4" s="31"/>
      <c r="L4" s="31"/>
      <c r="M4" s="32"/>
    </row>
    <row r="5" spans="2:13" ht="15.6" x14ac:dyDescent="0.3">
      <c r="B5" s="25">
        <v>1</v>
      </c>
      <c r="C5" s="27" t="s">
        <v>29</v>
      </c>
      <c r="D5" s="26"/>
      <c r="E5" s="26"/>
      <c r="F5" s="26"/>
      <c r="G5" s="26"/>
      <c r="H5" s="26"/>
      <c r="I5" s="26"/>
      <c r="J5" s="26"/>
      <c r="K5" s="26"/>
      <c r="L5" s="26"/>
      <c r="M5" s="50">
        <f>'Staff Salary Budget 2018-19'!S21</f>
        <v>2021044.2</v>
      </c>
    </row>
    <row r="6" spans="2:13" ht="15.6" x14ac:dyDescent="0.3">
      <c r="B6" s="25">
        <v>2</v>
      </c>
      <c r="C6" s="27" t="s">
        <v>30</v>
      </c>
      <c r="D6" s="26"/>
      <c r="E6" s="26"/>
      <c r="F6" s="26"/>
      <c r="G6" s="26"/>
      <c r="H6" s="26"/>
      <c r="I6" s="26"/>
      <c r="J6" s="26"/>
      <c r="K6" s="26"/>
      <c r="L6" s="26"/>
      <c r="M6" s="33">
        <v>2160000</v>
      </c>
    </row>
    <row r="7" spans="2:13" ht="15.6" x14ac:dyDescent="0.3">
      <c r="B7" s="25"/>
      <c r="C7" s="27" t="s">
        <v>31</v>
      </c>
      <c r="D7" s="26"/>
      <c r="E7" s="26"/>
      <c r="F7" s="26"/>
      <c r="G7" s="26"/>
      <c r="H7" s="26"/>
      <c r="I7" s="26"/>
      <c r="J7" s="26"/>
      <c r="K7" s="26"/>
      <c r="L7" s="26"/>
      <c r="M7" s="33"/>
    </row>
    <row r="8" spans="2:13" ht="15.6" x14ac:dyDescent="0.3">
      <c r="B8" s="25">
        <v>3</v>
      </c>
      <c r="C8" s="27" t="s">
        <v>32</v>
      </c>
      <c r="D8" s="26"/>
      <c r="E8" s="26"/>
      <c r="F8" s="26"/>
      <c r="G8" s="26"/>
      <c r="H8" s="26"/>
      <c r="I8" s="26"/>
      <c r="J8" s="26"/>
      <c r="K8" s="26"/>
      <c r="L8" s="26"/>
      <c r="M8" s="33">
        <v>720000</v>
      </c>
    </row>
    <row r="9" spans="2:13" ht="15.6" x14ac:dyDescent="0.3">
      <c r="B9" s="25"/>
      <c r="C9" s="27" t="s">
        <v>33</v>
      </c>
      <c r="D9" s="26"/>
      <c r="E9" s="26"/>
      <c r="F9" s="26"/>
      <c r="G9" s="26"/>
      <c r="H9" s="26"/>
      <c r="I9" s="26"/>
      <c r="J9" s="26"/>
      <c r="K9" s="26"/>
      <c r="L9" s="26"/>
      <c r="M9" s="33"/>
    </row>
    <row r="10" spans="2:13" ht="15.6" x14ac:dyDescent="0.3">
      <c r="B10" s="25">
        <v>4</v>
      </c>
      <c r="C10" s="27" t="s">
        <v>34</v>
      </c>
      <c r="D10" s="26"/>
      <c r="E10" s="26"/>
      <c r="F10" s="26"/>
      <c r="G10" s="26"/>
      <c r="H10" s="26"/>
      <c r="I10" s="26"/>
      <c r="J10" s="26"/>
      <c r="K10" s="26"/>
      <c r="L10" s="26"/>
      <c r="M10" s="33">
        <f>7000*12</f>
        <v>84000</v>
      </c>
    </row>
    <row r="11" spans="2:13" ht="15.6" x14ac:dyDescent="0.3">
      <c r="B11" s="25"/>
      <c r="C11" s="27" t="s">
        <v>64</v>
      </c>
      <c r="D11" s="26"/>
      <c r="E11" s="26"/>
      <c r="F11" s="26"/>
      <c r="G11" s="26"/>
      <c r="H11" s="26"/>
      <c r="I11" s="26"/>
      <c r="J11" s="26"/>
      <c r="K11" s="26"/>
      <c r="L11" s="26"/>
      <c r="M11" s="33"/>
    </row>
    <row r="12" spans="2:13" ht="15.6" x14ac:dyDescent="0.3">
      <c r="B12" s="25">
        <v>5</v>
      </c>
      <c r="C12" s="27" t="s">
        <v>36</v>
      </c>
      <c r="D12" s="26"/>
      <c r="E12" s="26"/>
      <c r="F12" s="26"/>
      <c r="G12" s="26"/>
      <c r="H12" s="26"/>
      <c r="I12" s="26"/>
      <c r="J12" s="26"/>
      <c r="K12" s="26"/>
      <c r="L12" s="26"/>
      <c r="M12" s="33">
        <v>90000</v>
      </c>
    </row>
    <row r="13" spans="2:13" ht="15.6" x14ac:dyDescent="0.3">
      <c r="B13" s="25"/>
      <c r="C13" s="27" t="s">
        <v>35</v>
      </c>
      <c r="D13" s="26"/>
      <c r="E13" s="26"/>
      <c r="F13" s="26"/>
      <c r="G13" s="26"/>
      <c r="H13" s="26"/>
      <c r="I13" s="26"/>
      <c r="J13" s="26"/>
      <c r="K13" s="26"/>
      <c r="L13" s="26"/>
      <c r="M13" s="33"/>
    </row>
    <row r="14" spans="2:13" ht="15.6" x14ac:dyDescent="0.3">
      <c r="B14" s="25">
        <v>6</v>
      </c>
      <c r="C14" s="27" t="s">
        <v>37</v>
      </c>
      <c r="D14" s="26"/>
      <c r="E14" s="26"/>
      <c r="F14" s="26"/>
      <c r="G14" s="26"/>
      <c r="H14" s="26"/>
      <c r="I14" s="26"/>
      <c r="J14" s="26"/>
      <c r="K14" s="26"/>
      <c r="L14" s="26"/>
      <c r="M14" s="33">
        <v>120000</v>
      </c>
    </row>
    <row r="15" spans="2:13" ht="15.6" x14ac:dyDescent="0.3">
      <c r="B15" s="25"/>
      <c r="C15" s="27" t="s">
        <v>38</v>
      </c>
      <c r="D15" s="26"/>
      <c r="E15" s="26"/>
      <c r="F15" s="26"/>
      <c r="G15" s="26"/>
      <c r="H15" s="26"/>
      <c r="I15" s="26"/>
      <c r="J15" s="26"/>
      <c r="K15" s="26"/>
      <c r="L15" s="26"/>
      <c r="M15" s="33"/>
    </row>
    <row r="16" spans="2:13" ht="15.6" x14ac:dyDescent="0.3">
      <c r="B16" s="25"/>
      <c r="C16" s="27" t="s">
        <v>39</v>
      </c>
      <c r="D16" s="26"/>
      <c r="E16" s="26"/>
      <c r="F16" s="26"/>
      <c r="G16" s="26"/>
      <c r="H16" s="26"/>
      <c r="I16" s="26"/>
      <c r="J16" s="26"/>
      <c r="K16" s="26"/>
      <c r="L16" s="26"/>
      <c r="M16" s="68">
        <f>SUM(M5:M14)</f>
        <v>5195044.2</v>
      </c>
    </row>
    <row r="17" spans="2:19" ht="16.2" thickBot="1" x14ac:dyDescent="0.35">
      <c r="B17" s="25">
        <v>7</v>
      </c>
      <c r="C17" s="27" t="s">
        <v>46</v>
      </c>
      <c r="D17" s="26"/>
      <c r="E17" s="26"/>
      <c r="F17" s="26"/>
      <c r="G17" s="26"/>
      <c r="H17" s="26"/>
      <c r="I17" s="26"/>
      <c r="J17" s="26"/>
      <c r="K17" s="26"/>
      <c r="L17" s="26"/>
      <c r="M17" s="43">
        <f>0.06*M16</f>
        <v>311702.652</v>
      </c>
    </row>
    <row r="18" spans="2:19" ht="16.2" thickBot="1" x14ac:dyDescent="0.35">
      <c r="B18" s="34"/>
      <c r="C18" s="30" t="s">
        <v>40</v>
      </c>
      <c r="D18" s="35"/>
      <c r="E18" s="36"/>
      <c r="F18" s="36"/>
      <c r="G18" s="36"/>
      <c r="H18" s="36"/>
      <c r="I18" s="36"/>
      <c r="J18" s="36"/>
      <c r="K18" s="36"/>
      <c r="L18" s="36"/>
      <c r="M18" s="58">
        <f>SUM(M16+M17)</f>
        <v>5506746.852</v>
      </c>
      <c r="O18" s="70"/>
      <c r="S18" s="56"/>
    </row>
    <row r="19" spans="2:19" ht="16.2" thickBot="1" x14ac:dyDescent="0.35">
      <c r="B19" s="3"/>
      <c r="D19" s="16"/>
      <c r="M19" s="51"/>
    </row>
    <row r="20" spans="2:19" ht="16.2" thickBot="1" x14ac:dyDescent="0.35">
      <c r="B20" s="37"/>
      <c r="C20" s="38" t="s">
        <v>42</v>
      </c>
      <c r="D20" s="39"/>
      <c r="E20" s="40"/>
      <c r="F20" s="40"/>
      <c r="G20" s="40"/>
      <c r="H20" s="40"/>
      <c r="I20" s="40"/>
      <c r="J20" s="40"/>
      <c r="K20" s="40"/>
      <c r="L20" s="40"/>
      <c r="M20" s="52"/>
    </row>
    <row r="21" spans="2:19" ht="15.6" x14ac:dyDescent="0.3">
      <c r="B21" s="4"/>
      <c r="C21" s="2"/>
      <c r="D21" s="18"/>
      <c r="E21" s="2"/>
      <c r="F21" s="2"/>
      <c r="G21" s="2"/>
      <c r="H21" s="2"/>
      <c r="I21" s="2"/>
      <c r="J21" s="2"/>
      <c r="K21" s="2"/>
      <c r="L21" s="2"/>
      <c r="M21" s="53"/>
    </row>
    <row r="22" spans="2:19" ht="15.6" x14ac:dyDescent="0.3">
      <c r="B22" s="47">
        <v>1</v>
      </c>
      <c r="C22" s="48" t="s">
        <v>41</v>
      </c>
      <c r="D22" s="49"/>
      <c r="E22" s="48"/>
      <c r="F22" s="48"/>
      <c r="G22" s="48"/>
      <c r="H22" s="48"/>
      <c r="I22" s="48"/>
      <c r="J22" s="48"/>
      <c r="K22" s="48"/>
      <c r="L22" s="48"/>
      <c r="M22" s="54">
        <v>1444960</v>
      </c>
      <c r="N22" t="s">
        <v>65</v>
      </c>
    </row>
    <row r="23" spans="2:19" ht="15.6" x14ac:dyDescent="0.3">
      <c r="B23" s="44">
        <v>2</v>
      </c>
      <c r="C23" s="45" t="s">
        <v>66</v>
      </c>
      <c r="D23" s="45"/>
      <c r="E23" s="45"/>
      <c r="F23" s="45"/>
      <c r="G23" s="45"/>
      <c r="H23" s="45"/>
      <c r="I23" s="45"/>
      <c r="J23" s="45"/>
      <c r="K23" s="45"/>
      <c r="L23" s="45"/>
      <c r="M23" s="46">
        <v>2987516</v>
      </c>
      <c r="N23" t="s">
        <v>68</v>
      </c>
    </row>
    <row r="24" spans="2:19" ht="15.6" x14ac:dyDescent="0.3">
      <c r="B24" s="4">
        <v>3</v>
      </c>
      <c r="C24" s="2" t="s">
        <v>52</v>
      </c>
      <c r="D24" s="18"/>
      <c r="E24" s="2"/>
      <c r="F24" s="2"/>
      <c r="G24" s="2"/>
      <c r="H24" s="2"/>
      <c r="I24" s="2"/>
      <c r="J24" s="2"/>
      <c r="K24" s="2"/>
      <c r="L24" s="2"/>
      <c r="M24" s="53">
        <v>1074271</v>
      </c>
      <c r="N24" t="s">
        <v>81</v>
      </c>
    </row>
    <row r="25" spans="2:19" ht="16.2" thickBot="1" x14ac:dyDescent="0.35">
      <c r="B25" s="4"/>
      <c r="C25" s="2"/>
      <c r="D25" s="18"/>
      <c r="E25" s="2"/>
      <c r="F25" s="2"/>
      <c r="G25" s="2"/>
      <c r="H25" s="2"/>
      <c r="I25" s="2"/>
      <c r="J25" s="2"/>
      <c r="K25" s="2"/>
      <c r="L25" s="2"/>
      <c r="M25" s="53">
        <v>0</v>
      </c>
    </row>
    <row r="26" spans="2:19" ht="16.2" thickBot="1" x14ac:dyDescent="0.35">
      <c r="B26" s="41"/>
      <c r="C26" s="36" t="s">
        <v>43</v>
      </c>
      <c r="D26" s="35"/>
      <c r="E26" s="36"/>
      <c r="F26" s="36"/>
      <c r="G26" s="36"/>
      <c r="H26" s="36"/>
      <c r="I26" s="36"/>
      <c r="J26" s="36"/>
      <c r="K26" s="36"/>
      <c r="L26" s="36"/>
      <c r="M26" s="58">
        <f>SUM(M22:M25)</f>
        <v>5506747</v>
      </c>
      <c r="N26" s="55"/>
      <c r="O26" s="55"/>
      <c r="P26" s="72"/>
    </row>
    <row r="27" spans="2:19" s="2" customFormat="1" x14ac:dyDescent="0.3">
      <c r="B27" s="42"/>
      <c r="D27" s="18"/>
      <c r="O27" s="69"/>
    </row>
    <row r="28" spans="2:19" x14ac:dyDescent="0.3">
      <c r="B28" s="3"/>
      <c r="D28" s="16"/>
      <c r="N28" s="55"/>
    </row>
    <row r="29" spans="2:19" x14ac:dyDescent="0.3">
      <c r="B29" s="3"/>
      <c r="D29" s="16"/>
      <c r="M29" s="55"/>
    </row>
    <row r="30" spans="2:19" x14ac:dyDescent="0.3">
      <c r="B30" s="28" t="s">
        <v>51</v>
      </c>
      <c r="D30" s="16"/>
    </row>
    <row r="31" spans="2:19" x14ac:dyDescent="0.3">
      <c r="B31" s="28" t="s">
        <v>82</v>
      </c>
      <c r="D31" s="16"/>
    </row>
    <row r="32" spans="2:19" x14ac:dyDescent="0.3">
      <c r="B32" s="3"/>
      <c r="D32" s="16"/>
    </row>
    <row r="33" spans="2:4" x14ac:dyDescent="0.3">
      <c r="B33" s="28" t="s">
        <v>44</v>
      </c>
      <c r="D33" s="16"/>
    </row>
    <row r="34" spans="2:4" x14ac:dyDescent="0.3">
      <c r="B34" s="3"/>
      <c r="D34" s="16"/>
    </row>
  </sheetData>
  <mergeCells count="1">
    <mergeCell ref="B2:M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P27"/>
  <sheetViews>
    <sheetView tabSelected="1" topLeftCell="A4" workbookViewId="0">
      <selection activeCell="A28" sqref="A28"/>
    </sheetView>
  </sheetViews>
  <sheetFormatPr defaultRowHeight="14.4" x14ac:dyDescent="0.3"/>
  <cols>
    <col min="9" max="9" width="20.21875" customWidth="1"/>
    <col min="10" max="10" width="25.77734375" customWidth="1"/>
  </cols>
  <sheetData>
    <row r="3" spans="2:16" ht="15" thickBot="1" x14ac:dyDescent="0.35">
      <c r="B3" s="84" t="s">
        <v>67</v>
      </c>
      <c r="C3" s="84"/>
      <c r="D3" s="84"/>
      <c r="E3" s="84"/>
      <c r="F3" s="84"/>
      <c r="G3" s="84"/>
      <c r="H3" s="84"/>
      <c r="I3" s="84"/>
      <c r="J3" s="84"/>
    </row>
    <row r="4" spans="2:16" ht="31.8" thickBot="1" x14ac:dyDescent="0.35">
      <c r="B4" s="29"/>
      <c r="C4" s="30" t="s">
        <v>28</v>
      </c>
      <c r="D4" s="31"/>
      <c r="E4" s="31"/>
      <c r="F4" s="31"/>
      <c r="G4" s="31"/>
      <c r="H4" s="31"/>
      <c r="I4" s="81" t="s">
        <v>74</v>
      </c>
      <c r="J4" s="73" t="s">
        <v>80</v>
      </c>
    </row>
    <row r="5" spans="2:16" ht="15.6" x14ac:dyDescent="0.3">
      <c r="B5" s="25">
        <v>1</v>
      </c>
      <c r="C5" s="27" t="s">
        <v>29</v>
      </c>
      <c r="D5" s="26"/>
      <c r="E5" s="26"/>
      <c r="F5" s="26"/>
      <c r="G5" s="26"/>
      <c r="H5" s="26"/>
      <c r="I5" s="50">
        <v>1416089</v>
      </c>
      <c r="J5" s="50">
        <f>1297193+237353</f>
        <v>1534546</v>
      </c>
      <c r="K5" s="86"/>
      <c r="L5" s="87"/>
      <c r="M5" s="87"/>
      <c r="N5" s="87"/>
      <c r="O5" s="87"/>
      <c r="P5" s="87"/>
    </row>
    <row r="6" spans="2:16" ht="15.6" x14ac:dyDescent="0.3">
      <c r="B6" s="25">
        <v>2</v>
      </c>
      <c r="C6" s="27" t="s">
        <v>30</v>
      </c>
      <c r="D6" s="26"/>
      <c r="E6" s="26"/>
      <c r="F6" s="26"/>
      <c r="G6" s="26"/>
      <c r="H6" s="26"/>
      <c r="I6" s="33">
        <v>2160000</v>
      </c>
      <c r="J6" s="33">
        <v>1719000</v>
      </c>
    </row>
    <row r="7" spans="2:16" ht="15.6" x14ac:dyDescent="0.3">
      <c r="B7" s="25"/>
      <c r="C7" s="27"/>
      <c r="D7" s="26"/>
      <c r="E7" s="26"/>
      <c r="F7" s="26"/>
      <c r="G7" s="26"/>
      <c r="H7" s="26"/>
      <c r="I7" s="33"/>
      <c r="J7" s="33"/>
      <c r="L7" s="55"/>
    </row>
    <row r="8" spans="2:16" ht="15.6" x14ac:dyDescent="0.3">
      <c r="B8" s="25">
        <v>3</v>
      </c>
      <c r="C8" s="27" t="s">
        <v>32</v>
      </c>
      <c r="D8" s="26"/>
      <c r="E8" s="26"/>
      <c r="F8" s="26"/>
      <c r="G8" s="26"/>
      <c r="H8" s="26"/>
      <c r="I8" s="33">
        <v>720000</v>
      </c>
      <c r="J8" s="33">
        <f>30000+381087+171961+4500+2484+8000+8400+17000+18900</f>
        <v>642332</v>
      </c>
      <c r="L8" s="55"/>
    </row>
    <row r="9" spans="2:16" ht="15.6" x14ac:dyDescent="0.3">
      <c r="B9" s="25"/>
      <c r="C9" s="27"/>
      <c r="D9" s="26"/>
      <c r="E9" s="26"/>
      <c r="F9" s="26"/>
      <c r="G9" s="26"/>
      <c r="H9" s="26"/>
      <c r="I9" s="33"/>
      <c r="J9" s="33"/>
    </row>
    <row r="10" spans="2:16" ht="15.6" x14ac:dyDescent="0.3">
      <c r="B10" s="25">
        <v>4</v>
      </c>
      <c r="C10" s="27" t="s">
        <v>34</v>
      </c>
      <c r="D10" s="26"/>
      <c r="E10" s="26"/>
      <c r="F10" s="26"/>
      <c r="G10" s="26"/>
      <c r="H10" s="26"/>
      <c r="I10" s="33">
        <v>72000</v>
      </c>
      <c r="J10" s="33">
        <f>64803+12022+2262</f>
        <v>79087</v>
      </c>
      <c r="L10" s="55"/>
    </row>
    <row r="11" spans="2:16" ht="15.6" x14ac:dyDescent="0.3">
      <c r="B11" s="25"/>
      <c r="C11" s="27"/>
      <c r="D11" s="26"/>
      <c r="E11" s="26"/>
      <c r="F11" s="26"/>
      <c r="G11" s="26"/>
      <c r="H11" s="26"/>
      <c r="I11" s="33"/>
      <c r="J11" s="33"/>
    </row>
    <row r="12" spans="2:16" ht="15.6" x14ac:dyDescent="0.3">
      <c r="B12" s="25">
        <v>5</v>
      </c>
      <c r="C12" s="27" t="s">
        <v>36</v>
      </c>
      <c r="D12" s="26"/>
      <c r="E12" s="26"/>
      <c r="F12" s="26"/>
      <c r="G12" s="26"/>
      <c r="H12" s="26"/>
      <c r="I12" s="33">
        <v>90000</v>
      </c>
      <c r="J12" s="33">
        <v>103204</v>
      </c>
    </row>
    <row r="13" spans="2:16" ht="15.6" x14ac:dyDescent="0.3">
      <c r="B13" s="25"/>
      <c r="C13" s="27"/>
      <c r="D13" s="26"/>
      <c r="E13" s="26"/>
      <c r="F13" s="26"/>
      <c r="G13" s="26"/>
      <c r="H13" s="26"/>
      <c r="I13" s="33"/>
      <c r="J13" s="33"/>
    </row>
    <row r="14" spans="2:16" ht="15.6" x14ac:dyDescent="0.3">
      <c r="B14" s="25">
        <v>6</v>
      </c>
      <c r="C14" s="27" t="s">
        <v>37</v>
      </c>
      <c r="D14" s="26"/>
      <c r="E14" s="26"/>
      <c r="F14" s="26"/>
      <c r="G14" s="26"/>
      <c r="H14" s="26"/>
      <c r="I14" s="33">
        <v>120000</v>
      </c>
      <c r="J14" s="33">
        <v>93555</v>
      </c>
    </row>
    <row r="15" spans="2:16" ht="15.6" x14ac:dyDescent="0.3">
      <c r="B15" s="25"/>
      <c r="C15" s="27"/>
      <c r="D15" s="26"/>
      <c r="E15" s="26"/>
      <c r="F15" s="26"/>
      <c r="G15" s="26"/>
      <c r="H15" s="26"/>
      <c r="I15" s="33"/>
      <c r="J15" s="33"/>
    </row>
    <row r="16" spans="2:16" ht="15.6" x14ac:dyDescent="0.3">
      <c r="B16" s="25">
        <v>7</v>
      </c>
      <c r="C16" s="27" t="s">
        <v>39</v>
      </c>
      <c r="D16" s="26"/>
      <c r="E16" s="26"/>
      <c r="F16" s="26"/>
      <c r="G16" s="26"/>
      <c r="H16" s="26"/>
      <c r="I16" s="82">
        <f>SUM(I5:I14)</f>
        <v>4578089</v>
      </c>
      <c r="J16" s="83">
        <f>+J5+J6+J8+J10+J12+J14</f>
        <v>4171724</v>
      </c>
    </row>
    <row r="17" spans="1:11" ht="16.2" thickBot="1" x14ac:dyDescent="0.35">
      <c r="B17" s="25">
        <v>8</v>
      </c>
      <c r="C17" s="27" t="s">
        <v>46</v>
      </c>
      <c r="D17" s="26"/>
      <c r="E17" s="26"/>
      <c r="F17" s="26"/>
      <c r="G17" s="26"/>
      <c r="H17" s="26"/>
      <c r="I17" s="43">
        <f>0.06*I16</f>
        <v>274685.33999999997</v>
      </c>
      <c r="J17" s="43">
        <f>+J16/100*6</f>
        <v>250303.44</v>
      </c>
    </row>
    <row r="18" spans="1:11" ht="16.2" thickBot="1" x14ac:dyDescent="0.35">
      <c r="B18" s="34"/>
      <c r="C18" s="30" t="s">
        <v>40</v>
      </c>
      <c r="D18" s="35"/>
      <c r="E18" s="36"/>
      <c r="F18" s="36"/>
      <c r="G18" s="36"/>
      <c r="H18" s="36"/>
      <c r="I18" s="58">
        <f>SUM(I16+I17)</f>
        <v>4852774.34</v>
      </c>
      <c r="J18" s="58">
        <f>SUM(J16+J17)</f>
        <v>4422027.4400000004</v>
      </c>
    </row>
    <row r="19" spans="1:11" ht="16.2" thickBot="1" x14ac:dyDescent="0.35">
      <c r="B19" s="57"/>
      <c r="D19" s="16"/>
      <c r="J19" s="51"/>
    </row>
    <row r="20" spans="1:11" ht="16.2" thickBot="1" x14ac:dyDescent="0.35">
      <c r="B20" s="37"/>
      <c r="C20" s="38" t="s">
        <v>42</v>
      </c>
      <c r="D20" s="39"/>
      <c r="E20" s="40"/>
      <c r="F20" s="40"/>
      <c r="G20" s="40"/>
      <c r="H20" s="40"/>
      <c r="I20" s="40"/>
      <c r="J20" s="52"/>
    </row>
    <row r="21" spans="1:11" ht="15.6" x14ac:dyDescent="0.3">
      <c r="B21" s="4"/>
      <c r="C21" s="2"/>
      <c r="D21" s="18"/>
      <c r="E21" s="2"/>
      <c r="F21" s="2"/>
      <c r="G21" s="2"/>
      <c r="H21" s="2"/>
      <c r="I21" s="77"/>
      <c r="J21" s="74"/>
    </row>
    <row r="22" spans="1:11" ht="16.2" thickBot="1" x14ac:dyDescent="0.35">
      <c r="B22" s="47">
        <v>1</v>
      </c>
      <c r="C22" s="48" t="s">
        <v>41</v>
      </c>
      <c r="D22" s="49"/>
      <c r="E22" s="48"/>
      <c r="F22" s="48"/>
      <c r="G22" s="48"/>
      <c r="H22" s="48"/>
      <c r="I22" s="78">
        <f>1150000+158274</f>
        <v>1308274</v>
      </c>
      <c r="J22" s="75">
        <v>1000000</v>
      </c>
      <c r="K22" t="s">
        <v>53</v>
      </c>
    </row>
    <row r="23" spans="1:11" ht="16.2" thickBot="1" x14ac:dyDescent="0.35">
      <c r="B23" s="44">
        <v>2</v>
      </c>
      <c r="C23" s="45" t="s">
        <v>70</v>
      </c>
      <c r="D23" s="45"/>
      <c r="E23" s="45"/>
      <c r="F23" s="45"/>
      <c r="G23" s="45"/>
      <c r="H23" s="45"/>
      <c r="I23" s="79">
        <f>1783020+763600</f>
        <v>2546620</v>
      </c>
      <c r="J23" s="76">
        <v>2487516</v>
      </c>
      <c r="K23" t="s">
        <v>79</v>
      </c>
    </row>
    <row r="24" spans="1:11" ht="16.2" thickBot="1" x14ac:dyDescent="0.35">
      <c r="B24" s="4">
        <v>3</v>
      </c>
      <c r="C24" s="2" t="s">
        <v>69</v>
      </c>
      <c r="D24" s="18"/>
      <c r="E24" s="2"/>
      <c r="F24" s="2"/>
      <c r="G24" s="2"/>
      <c r="H24" s="2"/>
      <c r="I24" s="80">
        <f>940080+57800</f>
        <v>997880</v>
      </c>
      <c r="J24" s="76">
        <v>976610</v>
      </c>
      <c r="K24" t="s">
        <v>71</v>
      </c>
    </row>
    <row r="25" spans="1:11" ht="16.2" thickBot="1" x14ac:dyDescent="0.35">
      <c r="B25" s="41"/>
      <c r="C25" s="36" t="s">
        <v>43</v>
      </c>
      <c r="D25" s="35"/>
      <c r="E25" s="36"/>
      <c r="F25" s="36"/>
      <c r="G25" s="36"/>
      <c r="H25" s="36"/>
      <c r="I25" s="58">
        <f>SUM(I22:I24)</f>
        <v>4852774</v>
      </c>
      <c r="J25" s="58">
        <f>SUM(J22:J24)</f>
        <v>4464126</v>
      </c>
    </row>
    <row r="26" spans="1:11" x14ac:dyDescent="0.3">
      <c r="K26" s="70"/>
    </row>
    <row r="27" spans="1:11" x14ac:dyDescent="0.3">
      <c r="A27" s="88" t="s">
        <v>83</v>
      </c>
      <c r="K27" s="70"/>
    </row>
  </sheetData>
  <mergeCells count="2">
    <mergeCell ref="B3:J3"/>
    <mergeCell ref="K5:P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Staff Salary Budget 2018-19</vt:lpstr>
      <vt:lpstr>DBRT Budget 2018-19</vt:lpstr>
      <vt:lpstr>2017-18 Expences Report </vt:lpstr>
      <vt:lpstr>'Staff Salary Budget 2018-19'!Print_Area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2018-11-20T18:16:27Z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v-jygawa@microsoft.com</vt:lpwstr>
  </property>
  <property fmtid="{D5CDD505-2E9C-101B-9397-08002B2CF9AE}" pid="5" name="MSIP_Label_f42aa342-8706-4288-bd11-ebb85995028c_SetDate">
    <vt:lpwstr>2018-11-20T18:06:00.9520368Z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