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ducation plus plus budget " sheetId="1" r:id="rId4"/>
    <sheet state="visible" name="Sheet3" sheetId="2" r:id="rId5"/>
  </sheets>
  <definedNames/>
  <calcPr/>
  <extLst>
    <ext uri="GoogleSheetsCustomDataVersion2">
      <go:sheetsCustomData xmlns:go="http://customooxmlschemas.google.com/" r:id="rId6" roundtripDataChecksum="LHXDTufEfm1w4scghm47bIsG3VisfJ9MfmGXjGD3a0A="/>
    </ext>
  </extLst>
</workbook>
</file>

<file path=xl/sharedStrings.xml><?xml version="1.0" encoding="utf-8"?>
<sst xmlns="http://schemas.openxmlformats.org/spreadsheetml/2006/main" count="186" uniqueCount="168">
  <si>
    <t>Overall Program Expenses (April 2025 - March 2026)</t>
  </si>
  <si>
    <t>Unit</t>
  </si>
  <si>
    <t>Number</t>
  </si>
  <si>
    <t>Cost</t>
  </si>
  <si>
    <t>total</t>
  </si>
  <si>
    <t>Request from Asha</t>
  </si>
  <si>
    <t xml:space="preserve">Committed from </t>
  </si>
  <si>
    <t>Donor</t>
  </si>
  <si>
    <t>Gap</t>
  </si>
  <si>
    <t>budget</t>
  </si>
  <si>
    <t>for Education</t>
  </si>
  <si>
    <t>other sources</t>
  </si>
  <si>
    <t>A)</t>
  </si>
  <si>
    <t>Alternative School - Jeevan Shiksha Pahal</t>
  </si>
  <si>
    <t>one-third</t>
  </si>
  <si>
    <t>Number of children - 200</t>
  </si>
  <si>
    <t>Salaries</t>
  </si>
  <si>
    <t>Salary per Teachers per month</t>
  </si>
  <si>
    <t>part salaries from APPI, HCF</t>
  </si>
  <si>
    <t>Transport</t>
  </si>
  <si>
    <t>costs per week</t>
  </si>
  <si>
    <t>partly from other sources</t>
  </si>
  <si>
    <t>Stationery</t>
  </si>
  <si>
    <t>children p.a.</t>
  </si>
  <si>
    <t>source from other donors</t>
  </si>
  <si>
    <t>Venue Maintenance</t>
  </si>
  <si>
    <t>per month</t>
  </si>
  <si>
    <t>One meal for Children</t>
  </si>
  <si>
    <t>per child per week</t>
  </si>
  <si>
    <t>raising locally also</t>
  </si>
  <si>
    <t>Medical Support</t>
  </si>
  <si>
    <t xml:space="preserve">Exposure Visits </t>
  </si>
  <si>
    <t>per quarter</t>
  </si>
  <si>
    <t>partly from India Foundation for Arts</t>
  </si>
  <si>
    <t>Workshops with children (theatre, art)</t>
  </si>
  <si>
    <t>every quarter</t>
  </si>
  <si>
    <t>Well-being and Mental Health Interventions</t>
  </si>
  <si>
    <t>counselor support and session materials per week</t>
  </si>
  <si>
    <t>partly from MH budget</t>
  </si>
  <si>
    <t>B)</t>
  </si>
  <si>
    <t>Outreach Education Program - Libraries and Community Learning Centres</t>
  </si>
  <si>
    <t>one-fourth</t>
  </si>
  <si>
    <t>Number of children - 2600</t>
  </si>
  <si>
    <t>teachers per annum</t>
  </si>
  <si>
    <t>azim premji philantropic initiatives (APPI); Yamada-IBBY grant</t>
  </si>
  <si>
    <t>Materials and Stationery</t>
  </si>
  <si>
    <t>Rental Space</t>
  </si>
  <si>
    <t>per centre per annum</t>
  </si>
  <si>
    <t>Community Fairs</t>
  </si>
  <si>
    <t>per locality</t>
  </si>
  <si>
    <t>Program Supervision and Guidance</t>
  </si>
  <si>
    <t>coordiantor</t>
  </si>
  <si>
    <t>C)</t>
  </si>
  <si>
    <t>Residential Facility</t>
  </si>
  <si>
    <t>partly</t>
  </si>
  <si>
    <t>Number of children - 75</t>
  </si>
  <si>
    <t>Warden Salaries</t>
  </si>
  <si>
    <t>wardens per annum</t>
  </si>
  <si>
    <t>Human Capability, Let it Count, Local contributions in kind</t>
  </si>
  <si>
    <t>Two Meals for Children (third meal in school)</t>
  </si>
  <si>
    <t>Sports and Extracurricular Activity Costs</t>
  </si>
  <si>
    <t>Paul Hamlyn Foundation</t>
  </si>
  <si>
    <t>APPI</t>
  </si>
  <si>
    <t>D)</t>
  </si>
  <si>
    <t>Support to Senior Students</t>
  </si>
  <si>
    <t>Number of children - 60</t>
  </si>
  <si>
    <t>Examination Fees</t>
  </si>
  <si>
    <t>number of students</t>
  </si>
  <si>
    <t>Will try to raise through CSR funds, crowd funding and little part by community contribution</t>
  </si>
  <si>
    <t xml:space="preserve">college fees </t>
  </si>
  <si>
    <t>admission preparations</t>
  </si>
  <si>
    <t>tutor per month</t>
  </si>
  <si>
    <t>travel</t>
  </si>
  <si>
    <t xml:space="preserve">E) </t>
  </si>
  <si>
    <t>Capacity Building and Organizational Development</t>
  </si>
  <si>
    <t>Training to 35 education Team Members</t>
  </si>
  <si>
    <t>days cost/per day</t>
  </si>
  <si>
    <t>Human Capability Foundation</t>
  </si>
  <si>
    <t>Exposure Visits</t>
  </si>
  <si>
    <t>average cost per person</t>
  </si>
  <si>
    <t>Education Program Total Expenses (A+B+C+D+E)</t>
  </si>
  <si>
    <t>F)</t>
  </si>
  <si>
    <t>Mental Health Interventions</t>
  </si>
  <si>
    <t>Training, Exposure Visit of team Members</t>
  </si>
  <si>
    <t>Azim Premji Philatropic Initiatives</t>
  </si>
  <si>
    <t xml:space="preserve">Awarness Events </t>
  </si>
  <si>
    <t>number of events</t>
  </si>
  <si>
    <t>Community Sesssions (includes rentals when needed and Props for use)</t>
  </si>
  <si>
    <t>days</t>
  </si>
  <si>
    <t>Community level mental health practitioners (12)</t>
  </si>
  <si>
    <t>person cost per month</t>
  </si>
  <si>
    <t>Worksheets and other materials</t>
  </si>
  <si>
    <t>Data Management</t>
  </si>
  <si>
    <t xml:space="preserve">person </t>
  </si>
  <si>
    <t xml:space="preserve">Referring people with therapists (at a subsidized cost) </t>
  </si>
  <si>
    <t>per person cost</t>
  </si>
  <si>
    <t>G)</t>
  </si>
  <si>
    <t>Community Strengthening Work</t>
  </si>
  <si>
    <t>Livelihood Support</t>
  </si>
  <si>
    <t>people</t>
  </si>
  <si>
    <t>from sales</t>
  </si>
  <si>
    <t>Entitlement Documents and Housing Rights Work</t>
  </si>
  <si>
    <t>Meetings and Sessions</t>
  </si>
  <si>
    <t>H)</t>
  </si>
  <si>
    <t>Child Protection and Youth Leadership Program</t>
  </si>
  <si>
    <t>Children's Federation Meetings</t>
  </si>
  <si>
    <t>meetings every second month</t>
  </si>
  <si>
    <t>Children's Trainings</t>
  </si>
  <si>
    <t>number of days</t>
  </si>
  <si>
    <t>Unicef, APPI</t>
  </si>
  <si>
    <t>Child-led Advocacy Efforts</t>
  </si>
  <si>
    <t>2 events</t>
  </si>
  <si>
    <t>salaries (5 people)</t>
  </si>
  <si>
    <t>annual cost of a person</t>
  </si>
  <si>
    <t>APPI, Unicef, TDH</t>
  </si>
  <si>
    <t>Community Facilitators</t>
  </si>
  <si>
    <t>per month support to 9 people</t>
  </si>
  <si>
    <t xml:space="preserve">APPI </t>
  </si>
  <si>
    <t xml:space="preserve">Youth Workshops </t>
  </si>
  <si>
    <t>Terres Des Homes, PHF</t>
  </si>
  <si>
    <t>Youth and Children's Learning Trips</t>
  </si>
  <si>
    <t>number of people</t>
  </si>
  <si>
    <t>TDH, PHF, Unicef</t>
  </si>
  <si>
    <t>Theatre and Frisbee Events</t>
  </si>
  <si>
    <t>number of events/campaigns</t>
  </si>
  <si>
    <t>TDH, PHF</t>
  </si>
  <si>
    <t>Training of Government Functionaries on CP</t>
  </si>
  <si>
    <t>number of people reached</t>
  </si>
  <si>
    <t xml:space="preserve">Unicef </t>
  </si>
  <si>
    <t>I)</t>
  </si>
  <si>
    <t>Publications, Research  and Seminar Events</t>
  </si>
  <si>
    <t>Illustrations and Design for Children's Literature</t>
  </si>
  <si>
    <t>books</t>
  </si>
  <si>
    <t>from book sales and book royalty; GGF</t>
  </si>
  <si>
    <t>team member</t>
  </si>
  <si>
    <t>part time person costs</t>
  </si>
  <si>
    <t>Research on Curriculum from an Indigenous Lens</t>
  </si>
  <si>
    <t>study</t>
  </si>
  <si>
    <t>bulk</t>
  </si>
  <si>
    <t>Global Greengrant Fund, APPI</t>
  </si>
  <si>
    <t>Documentation</t>
  </si>
  <si>
    <t>number of reports</t>
  </si>
  <si>
    <t>Indigenous Story Telling Efforts</t>
  </si>
  <si>
    <t>events</t>
  </si>
  <si>
    <t>DNT Rights and Advocacy</t>
  </si>
  <si>
    <t>Events - 24th July, 31st August, 19th Jan</t>
  </si>
  <si>
    <t>Legal Support to Specific Cases</t>
  </si>
  <si>
    <t>number of cases</t>
  </si>
  <si>
    <t>Travel and Stay in different towns, villages</t>
  </si>
  <si>
    <t>per month cost</t>
  </si>
  <si>
    <t>Terres Des Homes</t>
  </si>
  <si>
    <t>DNT Website</t>
  </si>
  <si>
    <t>set up costs</t>
  </si>
  <si>
    <t>Paul Hamlyn Foundation, APPI</t>
  </si>
  <si>
    <t>DNT Coordination</t>
  </si>
  <si>
    <t xml:space="preserve">salary </t>
  </si>
  <si>
    <t xml:space="preserve">DNT Issues - Journal </t>
  </si>
  <si>
    <t>TOTAL OF PROGRAM COSTS</t>
  </si>
  <si>
    <t>Admin and Establishment Costs</t>
  </si>
  <si>
    <t>J)</t>
  </si>
  <si>
    <t>Admin Costs @ 7% of total</t>
  </si>
  <si>
    <t>proportion</t>
  </si>
  <si>
    <t>APPI, Unicef, PHF</t>
  </si>
  <si>
    <t>Purchase of Laptops and basic office equipments</t>
  </si>
  <si>
    <t>K)</t>
  </si>
  <si>
    <t>School Building Repairs and Maintenance</t>
  </si>
  <si>
    <t>individual donations</t>
  </si>
  <si>
    <t>Final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</si>
</sst>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 * #,##0_ ;_ * \-#,##0_ ;_ * &quot;-&quot;??_ ;_ @_ "/>
    <numFmt numFmtId="165" formatCode="#,##0_ ;\-#,##0\ "/>
  </numFmts>
  <fonts count="8">
    <font>
      <sz val="11.0"/>
      <color theme="1"/>
      <name val="Calibri"/>
      <scheme val="minor"/>
    </font>
    <font>
      <b/>
      <u/>
      <sz val="11.0"/>
      <color theme="1"/>
      <name val="Calibri"/>
    </font>
    <font>
      <u/>
      <sz val="11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color theme="1"/>
      <name val="Calibri"/>
      <scheme val="minor"/>
    </font>
    <font/>
    <font>
      <sz val="10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E5B8B7"/>
        <bgColor rgb="FFE5B8B7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2DBDB"/>
        <bgColor rgb="FFF2DBDB"/>
      </patternFill>
    </fill>
    <fill>
      <patternFill patternType="solid">
        <fgColor theme="0"/>
        <bgColor theme="0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3" numFmtId="0" xfId="0" applyBorder="1" applyFont="1"/>
    <xf borderId="1" fillId="0" fontId="4" numFmtId="0" xfId="0" applyBorder="1" applyFont="1"/>
    <xf borderId="1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vertical="center"/>
    </xf>
    <xf borderId="0" fillId="0" fontId="5" numFmtId="0" xfId="0" applyFont="1"/>
    <xf borderId="1" fillId="2" fontId="3" numFmtId="0" xfId="0" applyBorder="1" applyFill="1" applyFont="1"/>
    <xf borderId="1" fillId="2" fontId="3" numFmtId="0" xfId="0" applyAlignment="1" applyBorder="1" applyFont="1">
      <alignment horizontal="center"/>
    </xf>
    <xf borderId="1" fillId="3" fontId="3" numFmtId="0" xfId="0" applyBorder="1" applyFill="1" applyFont="1"/>
    <xf borderId="1" fillId="4" fontId="3" numFmtId="0" xfId="0" applyBorder="1" applyFill="1" applyFont="1"/>
    <xf borderId="1" fillId="0" fontId="3" numFmtId="164" xfId="0" applyBorder="1" applyFont="1" applyNumberFormat="1"/>
    <xf borderId="1" fillId="4" fontId="3" numFmtId="164" xfId="0" applyBorder="1" applyFont="1" applyNumberFormat="1"/>
    <xf borderId="0" fillId="0" fontId="5" numFmtId="164" xfId="0" applyFont="1" applyNumberFormat="1"/>
    <xf borderId="0" fillId="0" fontId="3" numFmtId="0" xfId="0" applyFont="1"/>
    <xf borderId="2" fillId="0" fontId="3" numFmtId="0" xfId="0" applyBorder="1" applyFont="1"/>
    <xf borderId="3" fillId="3" fontId="3" numFmtId="0" xfId="0" applyBorder="1" applyFont="1"/>
    <xf borderId="1" fillId="3" fontId="3" numFmtId="164" xfId="0" applyBorder="1" applyFont="1" applyNumberFormat="1"/>
    <xf borderId="1" fillId="2" fontId="3" numFmtId="0" xfId="0" applyAlignment="1" applyBorder="1" applyFont="1">
      <alignment shrinkToFit="0" wrapText="1"/>
    </xf>
    <xf borderId="0" fillId="0" fontId="3" numFmtId="164" xfId="0" applyFont="1" applyNumberFormat="1"/>
    <xf borderId="1" fillId="0" fontId="3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center" wrapText="1"/>
    </xf>
    <xf borderId="2" fillId="0" fontId="6" numFmtId="0" xfId="0" applyBorder="1" applyFont="1"/>
    <xf borderId="5" fillId="0" fontId="6" numFmtId="0" xfId="0" applyBorder="1" applyFont="1"/>
    <xf borderId="1" fillId="0" fontId="3" numFmtId="0" xfId="0" applyAlignment="1" applyBorder="1" applyFont="1">
      <alignment horizontal="center" shrinkToFit="0" wrapText="1"/>
    </xf>
    <xf borderId="4" fillId="0" fontId="3" numFmtId="0" xfId="0" applyAlignment="1" applyBorder="1" applyFont="1">
      <alignment horizontal="center" shrinkToFit="0" wrapText="1"/>
    </xf>
    <xf borderId="1" fillId="0" fontId="3" numFmtId="0" xfId="0" applyAlignment="1" applyBorder="1" applyFont="1">
      <alignment horizontal="left" shrinkToFit="0" wrapText="1"/>
    </xf>
    <xf borderId="1" fillId="5" fontId="3" numFmtId="164" xfId="0" applyBorder="1" applyFill="1" applyFont="1" applyNumberFormat="1"/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vertical="center"/>
    </xf>
    <xf borderId="6" fillId="0" fontId="3" numFmtId="164" xfId="0" applyBorder="1" applyFont="1" applyNumberFormat="1"/>
    <xf borderId="1" fillId="2" fontId="4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1" fillId="2" fontId="4" numFmtId="164" xfId="0" applyAlignment="1" applyBorder="1" applyFont="1" applyNumberFormat="1">
      <alignment vertical="center"/>
    </xf>
    <xf borderId="1" fillId="6" fontId="3" numFmtId="0" xfId="0" applyBorder="1" applyFill="1" applyFont="1"/>
    <xf borderId="1" fillId="0" fontId="3" numFmtId="165" xfId="0" applyBorder="1" applyFont="1" applyNumberFormat="1"/>
    <xf borderId="1" fillId="0" fontId="7" numFmtId="0" xfId="0" applyAlignment="1" applyBorder="1" applyFont="1">
      <alignment horizontal="left" shrinkToFit="0" vertical="center" wrapText="1"/>
    </xf>
    <xf borderId="3" fillId="3" fontId="3" numFmtId="165" xfId="0" applyBorder="1" applyFont="1" applyNumberFormat="1"/>
    <xf borderId="2" fillId="0" fontId="3" numFmtId="164" xfId="0" applyBorder="1" applyFont="1" applyNumberFormat="1"/>
    <xf borderId="3" fillId="7" fontId="3" numFmtId="0" xfId="0" applyBorder="1" applyFill="1" applyFont="1"/>
    <xf borderId="1" fillId="7" fontId="3" numFmtId="0" xfId="0" applyBorder="1" applyFont="1"/>
    <xf borderId="1" fillId="7" fontId="3" numFmtId="164" xfId="0" applyBorder="1" applyFont="1" applyNumberFormat="1"/>
    <xf borderId="3" fillId="2" fontId="3" numFmtId="0" xfId="0" applyBorder="1" applyFont="1"/>
    <xf borderId="1" fillId="2" fontId="4" numFmtId="0" xfId="0" applyBorder="1" applyFont="1"/>
    <xf borderId="1" fillId="2" fontId="4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4.43" defaultRowHeight="15.0"/>
  <cols>
    <col customWidth="1" min="1" max="1" width="8.71"/>
    <col customWidth="1" min="2" max="2" width="36.0"/>
    <col customWidth="1" min="3" max="3" width="21.86"/>
    <col customWidth="1" min="4" max="5" width="8.71"/>
    <col customWidth="1" min="6" max="6" width="13.71"/>
    <col customWidth="1" min="7" max="7" width="20.29"/>
    <col customWidth="1" min="8" max="8" width="17.57"/>
    <col customWidth="1" min="9" max="9" width="22.71"/>
    <col customWidth="1" min="10" max="10" width="13.0"/>
    <col customWidth="1" min="11" max="13" width="8.71"/>
    <col customWidth="1" min="14" max="14" width="33.57"/>
    <col customWidth="1" min="15" max="26" width="8.71"/>
  </cols>
  <sheetData>
    <row r="1" ht="14.25" customHeight="1"/>
    <row r="2" ht="14.25" customHeight="1">
      <c r="A2" s="1" t="s">
        <v>0</v>
      </c>
      <c r="C2" s="2"/>
    </row>
    <row r="3" ht="14.25" customHeight="1">
      <c r="B3" s="3"/>
      <c r="C3" s="4" t="s">
        <v>1</v>
      </c>
      <c r="D3" s="5" t="s">
        <v>2</v>
      </c>
      <c r="E3" s="5" t="s">
        <v>3</v>
      </c>
      <c r="F3" s="5" t="s">
        <v>4</v>
      </c>
      <c r="G3" s="6" t="s">
        <v>5</v>
      </c>
      <c r="H3" s="5" t="s">
        <v>6</v>
      </c>
      <c r="I3" s="5" t="s">
        <v>7</v>
      </c>
      <c r="J3" s="5" t="s">
        <v>8</v>
      </c>
    </row>
    <row r="4" ht="14.25" customHeight="1">
      <c r="B4" s="3"/>
      <c r="C4" s="4"/>
      <c r="D4" s="5"/>
      <c r="E4" s="5"/>
      <c r="F4" s="5" t="s">
        <v>9</v>
      </c>
      <c r="G4" s="5" t="s">
        <v>10</v>
      </c>
      <c r="H4" s="5" t="s">
        <v>11</v>
      </c>
      <c r="I4" s="5"/>
      <c r="J4" s="5"/>
    </row>
    <row r="5" ht="14.25" customHeight="1">
      <c r="A5" s="7" t="s">
        <v>12</v>
      </c>
      <c r="B5" s="8" t="s">
        <v>13</v>
      </c>
      <c r="C5" s="3"/>
      <c r="D5" s="3"/>
      <c r="E5" s="3"/>
      <c r="G5" s="9" t="s">
        <v>14</v>
      </c>
    </row>
    <row r="6" ht="14.25" customHeight="1">
      <c r="B6" s="10" t="s">
        <v>15</v>
      </c>
      <c r="C6" s="3"/>
      <c r="D6" s="3"/>
      <c r="E6" s="3"/>
      <c r="F6" s="3"/>
      <c r="G6" s="3"/>
      <c r="H6" s="3"/>
      <c r="I6" s="3"/>
      <c r="J6" s="3"/>
    </row>
    <row r="7" ht="14.25" customHeight="1">
      <c r="B7" s="11" t="s">
        <v>16</v>
      </c>
      <c r="C7" s="3" t="s">
        <v>17</v>
      </c>
      <c r="D7" s="3">
        <v>12.0</v>
      </c>
      <c r="E7" s="3">
        <v>23000.0</v>
      </c>
      <c r="F7" s="12">
        <f>E7*D7*12</f>
        <v>3312000</v>
      </c>
      <c r="G7" s="13">
        <f t="shared" ref="G7:G15" si="1">F7/3</f>
        <v>1104000</v>
      </c>
      <c r="H7" s="12">
        <f>F7/3</f>
        <v>1104000</v>
      </c>
      <c r="I7" s="3" t="s">
        <v>18</v>
      </c>
      <c r="J7" s="12">
        <f t="shared" ref="J7:J15" si="2">F7-G7-H7</f>
        <v>1104000</v>
      </c>
    </row>
    <row r="8" ht="14.25" customHeight="1">
      <c r="B8" s="11" t="s">
        <v>19</v>
      </c>
      <c r="C8" s="3" t="s">
        <v>20</v>
      </c>
      <c r="D8" s="3">
        <v>43.0</v>
      </c>
      <c r="E8" s="3">
        <v>9500.0</v>
      </c>
      <c r="F8" s="12">
        <f t="shared" ref="F8:F10" si="3">E8*D8</f>
        <v>408500</v>
      </c>
      <c r="G8" s="13">
        <f t="shared" si="1"/>
        <v>136166.6667</v>
      </c>
      <c r="H8" s="12">
        <v>60000.0</v>
      </c>
      <c r="I8" s="3" t="s">
        <v>21</v>
      </c>
      <c r="J8" s="12">
        <f t="shared" si="2"/>
        <v>212333.3333</v>
      </c>
    </row>
    <row r="9" ht="14.25" customHeight="1">
      <c r="B9" s="3" t="s">
        <v>22</v>
      </c>
      <c r="C9" s="3" t="s">
        <v>23</v>
      </c>
      <c r="D9" s="3">
        <v>200.0</v>
      </c>
      <c r="E9" s="3">
        <v>400.0</v>
      </c>
      <c r="F9" s="12">
        <f t="shared" si="3"/>
        <v>80000</v>
      </c>
      <c r="G9" s="12">
        <f t="shared" si="1"/>
        <v>26666.66667</v>
      </c>
      <c r="H9" s="12">
        <f>F9/2</f>
        <v>40000</v>
      </c>
      <c r="I9" s="3" t="s">
        <v>24</v>
      </c>
      <c r="J9" s="12">
        <f t="shared" si="2"/>
        <v>13333.33333</v>
      </c>
      <c r="N9" s="14">
        <f>G7+G8+G19+G20+G27</f>
        <v>2011416.667</v>
      </c>
    </row>
    <row r="10" ht="14.25" customHeight="1">
      <c r="B10" s="3" t="s">
        <v>25</v>
      </c>
      <c r="C10" s="3" t="s">
        <v>26</v>
      </c>
      <c r="D10" s="3">
        <v>12.0</v>
      </c>
      <c r="E10" s="3">
        <v>14000.0</v>
      </c>
      <c r="F10" s="12">
        <f t="shared" si="3"/>
        <v>168000</v>
      </c>
      <c r="G10" s="12">
        <f t="shared" si="1"/>
        <v>56000</v>
      </c>
      <c r="H10" s="12">
        <f>F10*0.25</f>
        <v>42000</v>
      </c>
      <c r="I10" s="15" t="s">
        <v>21</v>
      </c>
      <c r="J10" s="12">
        <f t="shared" si="2"/>
        <v>70000</v>
      </c>
    </row>
    <row r="11" ht="14.25" customHeight="1">
      <c r="B11" s="3" t="s">
        <v>27</v>
      </c>
      <c r="C11" s="3" t="s">
        <v>28</v>
      </c>
      <c r="D11" s="3">
        <v>43.0</v>
      </c>
      <c r="E11" s="3">
        <v>190.0</v>
      </c>
      <c r="F11" s="12">
        <f>200*E11*D11</f>
        <v>1634000</v>
      </c>
      <c r="G11" s="12">
        <f t="shared" si="1"/>
        <v>544666.6667</v>
      </c>
      <c r="H11" s="12">
        <v>200000.0</v>
      </c>
      <c r="I11" s="3" t="s">
        <v>29</v>
      </c>
      <c r="J11" s="12">
        <f t="shared" si="2"/>
        <v>889333.3333</v>
      </c>
    </row>
    <row r="12" ht="14.25" customHeight="1">
      <c r="B12" s="3" t="s">
        <v>30</v>
      </c>
      <c r="C12" s="3" t="s">
        <v>26</v>
      </c>
      <c r="D12" s="3">
        <v>11.0</v>
      </c>
      <c r="E12" s="3">
        <v>2000.0</v>
      </c>
      <c r="F12" s="12">
        <f t="shared" ref="F12:F13" si="4">E12*D12</f>
        <v>22000</v>
      </c>
      <c r="G12" s="12">
        <f t="shared" si="1"/>
        <v>7333.333333</v>
      </c>
      <c r="H12" s="12">
        <v>0.0</v>
      </c>
      <c r="I12" s="3"/>
      <c r="J12" s="12">
        <f t="shared" si="2"/>
        <v>14666.66667</v>
      </c>
    </row>
    <row r="13" ht="14.25" customHeight="1">
      <c r="B13" s="3" t="s">
        <v>31</v>
      </c>
      <c r="C13" s="3" t="s">
        <v>32</v>
      </c>
      <c r="D13" s="3">
        <v>4.0</v>
      </c>
      <c r="E13" s="3">
        <v>32000.0</v>
      </c>
      <c r="F13" s="12">
        <f t="shared" si="4"/>
        <v>128000</v>
      </c>
      <c r="G13" s="12">
        <f t="shared" si="1"/>
        <v>42666.66667</v>
      </c>
      <c r="H13" s="12">
        <v>24000.0</v>
      </c>
      <c r="I13" s="3" t="s">
        <v>33</v>
      </c>
      <c r="J13" s="12">
        <f t="shared" si="2"/>
        <v>61333.33333</v>
      </c>
    </row>
    <row r="14" ht="14.25" customHeight="1">
      <c r="B14" s="3" t="s">
        <v>34</v>
      </c>
      <c r="C14" s="3" t="s">
        <v>35</v>
      </c>
      <c r="D14" s="3">
        <v>4.0</v>
      </c>
      <c r="E14" s="3">
        <v>20000.0</v>
      </c>
      <c r="F14" s="12">
        <f t="shared" ref="F14:F15" si="5">D14*E14</f>
        <v>80000</v>
      </c>
      <c r="G14" s="12">
        <f t="shared" si="1"/>
        <v>26666.66667</v>
      </c>
      <c r="H14" s="12">
        <v>30000.0</v>
      </c>
      <c r="I14" s="3"/>
      <c r="J14" s="12">
        <f t="shared" si="2"/>
        <v>23333.33333</v>
      </c>
    </row>
    <row r="15" ht="14.25" customHeight="1">
      <c r="B15" s="16" t="s">
        <v>36</v>
      </c>
      <c r="C15" s="16" t="s">
        <v>37</v>
      </c>
      <c r="D15" s="16">
        <v>43.0</v>
      </c>
      <c r="E15" s="16">
        <v>10000.0</v>
      </c>
      <c r="F15" s="7">
        <f t="shared" si="5"/>
        <v>430000</v>
      </c>
      <c r="G15" s="12">
        <f t="shared" si="1"/>
        <v>143333.3333</v>
      </c>
      <c r="H15" s="7">
        <v>230000.0</v>
      </c>
      <c r="I15" s="16" t="s">
        <v>38</v>
      </c>
      <c r="J15" s="12">
        <f t="shared" si="2"/>
        <v>56666.66667</v>
      </c>
    </row>
    <row r="16" ht="14.25" customHeight="1">
      <c r="A16" s="17"/>
      <c r="B16" s="10"/>
      <c r="C16" s="10"/>
      <c r="D16" s="10"/>
      <c r="E16" s="10"/>
      <c r="F16" s="18">
        <f t="shared" ref="F16:H16" si="6">SUM(F7:F15)</f>
        <v>6262500</v>
      </c>
      <c r="G16" s="18">
        <f t="shared" si="6"/>
        <v>2087500</v>
      </c>
      <c r="H16" s="18">
        <f t="shared" si="6"/>
        <v>1730000</v>
      </c>
      <c r="I16" s="10"/>
      <c r="J16" s="18">
        <f>SUM(J7:J15)</f>
        <v>2445000</v>
      </c>
    </row>
    <row r="17" ht="14.25" customHeight="1">
      <c r="A17" s="7" t="s">
        <v>39</v>
      </c>
      <c r="B17" s="19" t="s">
        <v>40</v>
      </c>
      <c r="C17" s="3"/>
      <c r="D17" s="3"/>
      <c r="E17" s="3"/>
      <c r="F17" s="12"/>
      <c r="G17" s="9" t="s">
        <v>41</v>
      </c>
      <c r="H17" s="20"/>
    </row>
    <row r="18" ht="14.25" customHeight="1">
      <c r="B18" s="10" t="s">
        <v>42</v>
      </c>
      <c r="C18" s="3"/>
      <c r="D18" s="3"/>
      <c r="E18" s="3"/>
      <c r="F18" s="12"/>
      <c r="G18" s="12"/>
      <c r="H18" s="20"/>
    </row>
    <row r="19" ht="28.5" customHeight="1">
      <c r="B19" s="11" t="s">
        <v>16</v>
      </c>
      <c r="C19" s="21" t="s">
        <v>43</v>
      </c>
      <c r="D19" s="3">
        <v>20.0</v>
      </c>
      <c r="E19" s="3">
        <f>8000*12</f>
        <v>96000</v>
      </c>
      <c r="F19" s="12">
        <f t="shared" ref="F19:F23" si="7">E19*D19</f>
        <v>1920000</v>
      </c>
      <c r="G19" s="13">
        <f t="shared" ref="G19:G23" si="8">F19/4</f>
        <v>480000</v>
      </c>
      <c r="H19" s="12">
        <f>E19*6</f>
        <v>576000</v>
      </c>
      <c r="I19" s="22" t="s">
        <v>44</v>
      </c>
      <c r="J19" s="12">
        <f t="shared" ref="J19:J23" si="9">F19-G19-H19</f>
        <v>864000</v>
      </c>
    </row>
    <row r="20" ht="14.25" customHeight="1">
      <c r="B20" s="11" t="s">
        <v>45</v>
      </c>
      <c r="C20" s="3" t="s">
        <v>23</v>
      </c>
      <c r="D20" s="3">
        <v>2600.0</v>
      </c>
      <c r="E20" s="3">
        <v>125.0</v>
      </c>
      <c r="F20" s="12">
        <f t="shared" si="7"/>
        <v>325000</v>
      </c>
      <c r="G20" s="13">
        <f t="shared" si="8"/>
        <v>81250</v>
      </c>
      <c r="H20" s="12">
        <v>160000.0</v>
      </c>
      <c r="I20" s="23"/>
      <c r="J20" s="12">
        <f t="shared" si="9"/>
        <v>83750</v>
      </c>
    </row>
    <row r="21" ht="14.25" customHeight="1">
      <c r="B21" s="3" t="s">
        <v>46</v>
      </c>
      <c r="C21" s="21" t="s">
        <v>47</v>
      </c>
      <c r="D21" s="3">
        <v>7.0</v>
      </c>
      <c r="E21" s="3">
        <f>2200*12</f>
        <v>26400</v>
      </c>
      <c r="F21" s="12">
        <f t="shared" si="7"/>
        <v>184800</v>
      </c>
      <c r="G21" s="12">
        <f t="shared" si="8"/>
        <v>46200</v>
      </c>
      <c r="H21" s="12">
        <f t="shared" ref="H21:H23" si="10">F21-G21</f>
        <v>138600</v>
      </c>
      <c r="I21" s="23"/>
      <c r="J21" s="12">
        <f t="shared" si="9"/>
        <v>0</v>
      </c>
    </row>
    <row r="22" ht="14.25" customHeight="1">
      <c r="B22" s="3" t="s">
        <v>48</v>
      </c>
      <c r="C22" s="3" t="s">
        <v>49</v>
      </c>
      <c r="D22" s="3">
        <v>30.0</v>
      </c>
      <c r="E22" s="3">
        <v>4000.0</v>
      </c>
      <c r="F22" s="12">
        <f t="shared" si="7"/>
        <v>120000</v>
      </c>
      <c r="G22" s="12">
        <f t="shared" si="8"/>
        <v>30000</v>
      </c>
      <c r="H22" s="12">
        <f t="shared" si="10"/>
        <v>90000</v>
      </c>
      <c r="I22" s="23"/>
      <c r="J22" s="12">
        <f t="shared" si="9"/>
        <v>0</v>
      </c>
    </row>
    <row r="23" ht="14.25" customHeight="1">
      <c r="B23" s="3" t="s">
        <v>50</v>
      </c>
      <c r="C23" s="3" t="s">
        <v>51</v>
      </c>
      <c r="D23" s="3">
        <v>1.0</v>
      </c>
      <c r="E23" s="3">
        <f>28000*12</f>
        <v>336000</v>
      </c>
      <c r="F23" s="12">
        <f t="shared" si="7"/>
        <v>336000</v>
      </c>
      <c r="G23" s="12">
        <f t="shared" si="8"/>
        <v>84000</v>
      </c>
      <c r="H23" s="12">
        <f t="shared" si="10"/>
        <v>252000</v>
      </c>
      <c r="I23" s="24"/>
      <c r="J23" s="12">
        <f t="shared" si="9"/>
        <v>0</v>
      </c>
    </row>
    <row r="24" ht="14.25" customHeight="1">
      <c r="A24" s="17"/>
      <c r="B24" s="10"/>
      <c r="C24" s="10"/>
      <c r="D24" s="10"/>
      <c r="E24" s="10"/>
      <c r="F24" s="18">
        <f t="shared" ref="F24:G24" si="11">SUM(F19:F23)</f>
        <v>2885800</v>
      </c>
      <c r="G24" s="18">
        <f t="shared" si="11"/>
        <v>721450</v>
      </c>
      <c r="H24" s="18">
        <f>SUM(H17:H23)</f>
        <v>1216600</v>
      </c>
      <c r="I24" s="18">
        <f>SUM(I20:I23)</f>
        <v>0</v>
      </c>
      <c r="J24" s="18">
        <f>SUM(J17:J23)</f>
        <v>947750</v>
      </c>
    </row>
    <row r="25" ht="14.25" customHeight="1">
      <c r="A25" s="7" t="s">
        <v>52</v>
      </c>
      <c r="B25" s="8" t="s">
        <v>53</v>
      </c>
      <c r="C25" s="3"/>
      <c r="D25" s="3"/>
      <c r="E25" s="3"/>
      <c r="F25" s="12"/>
      <c r="G25" s="9" t="s">
        <v>54</v>
      </c>
      <c r="H25" s="20"/>
    </row>
    <row r="26" ht="14.25" customHeight="1">
      <c r="B26" s="10" t="s">
        <v>55</v>
      </c>
      <c r="C26" s="3"/>
      <c r="D26" s="3"/>
      <c r="E26" s="3"/>
      <c r="F26" s="12"/>
      <c r="G26" s="12"/>
      <c r="H26" s="20"/>
    </row>
    <row r="27" ht="14.25" customHeight="1">
      <c r="B27" s="11" t="s">
        <v>56</v>
      </c>
      <c r="C27" s="25" t="s">
        <v>57</v>
      </c>
      <c r="D27" s="3">
        <v>2.0</v>
      </c>
      <c r="E27" s="3">
        <f>35000*12</f>
        <v>420000</v>
      </c>
      <c r="F27" s="12">
        <f>E27*D27</f>
        <v>840000</v>
      </c>
      <c r="G27" s="13">
        <f t="shared" ref="G27:G28" si="12">F27/4</f>
        <v>210000</v>
      </c>
      <c r="H27" s="12">
        <f>G27*2</f>
        <v>420000</v>
      </c>
      <c r="I27" s="26" t="s">
        <v>58</v>
      </c>
      <c r="J27" s="12">
        <f t="shared" ref="J27:J30" si="13">F27-G27-H27</f>
        <v>210000</v>
      </c>
    </row>
    <row r="28" ht="14.25" customHeight="1">
      <c r="B28" s="27" t="s">
        <v>59</v>
      </c>
      <c r="C28" s="25" t="s">
        <v>28</v>
      </c>
      <c r="D28" s="3">
        <v>52.0</v>
      </c>
      <c r="E28" s="3">
        <v>560.0</v>
      </c>
      <c r="F28" s="12">
        <f>D28*E28*75</f>
        <v>2184000</v>
      </c>
      <c r="G28" s="28">
        <f t="shared" si="12"/>
        <v>546000</v>
      </c>
      <c r="H28" s="12">
        <f>F28/2</f>
        <v>1092000</v>
      </c>
      <c r="I28" s="24"/>
      <c r="J28" s="12">
        <f t="shared" si="13"/>
        <v>546000</v>
      </c>
    </row>
    <row r="29" ht="14.25" customHeight="1">
      <c r="B29" s="3" t="s">
        <v>60</v>
      </c>
      <c r="C29" s="3" t="s">
        <v>26</v>
      </c>
      <c r="D29" s="3">
        <v>12.0</v>
      </c>
      <c r="E29" s="3">
        <v>8000.0</v>
      </c>
      <c r="F29" s="12">
        <f t="shared" ref="F29:F30" si="14">E29*D29</f>
        <v>96000</v>
      </c>
      <c r="G29" s="12">
        <v>0.0</v>
      </c>
      <c r="H29" s="12">
        <f>F29/4</f>
        <v>24000</v>
      </c>
      <c r="I29" s="29" t="s">
        <v>61</v>
      </c>
      <c r="J29" s="12">
        <f t="shared" si="13"/>
        <v>72000</v>
      </c>
    </row>
    <row r="30" ht="14.25" customHeight="1">
      <c r="B30" s="3" t="s">
        <v>30</v>
      </c>
      <c r="C30" s="3" t="s">
        <v>26</v>
      </c>
      <c r="D30" s="3">
        <v>12.0</v>
      </c>
      <c r="E30" s="3">
        <v>3500.0</v>
      </c>
      <c r="F30" s="12">
        <f t="shared" si="14"/>
        <v>42000</v>
      </c>
      <c r="G30" s="12">
        <f>F30/2</f>
        <v>21000</v>
      </c>
      <c r="H30" s="12">
        <f>G30</f>
        <v>21000</v>
      </c>
      <c r="I30" s="30" t="s">
        <v>62</v>
      </c>
      <c r="J30" s="12">
        <f t="shared" si="13"/>
        <v>0</v>
      </c>
    </row>
    <row r="31" ht="14.25" customHeight="1">
      <c r="A31" s="17"/>
      <c r="B31" s="10"/>
      <c r="C31" s="10"/>
      <c r="D31" s="10"/>
      <c r="E31" s="10"/>
      <c r="F31" s="18">
        <f t="shared" ref="F31:J31" si="15">SUM(F27:F30)</f>
        <v>3162000</v>
      </c>
      <c r="G31" s="18">
        <f t="shared" si="15"/>
        <v>777000</v>
      </c>
      <c r="H31" s="18">
        <f t="shared" si="15"/>
        <v>1557000</v>
      </c>
      <c r="I31" s="18">
        <f t="shared" si="15"/>
        <v>0</v>
      </c>
      <c r="J31" s="18">
        <f t="shared" si="15"/>
        <v>828000</v>
      </c>
    </row>
    <row r="32" ht="14.25" customHeight="1">
      <c r="A32" s="7" t="s">
        <v>63</v>
      </c>
      <c r="B32" s="8" t="s">
        <v>64</v>
      </c>
      <c r="C32" s="3"/>
      <c r="D32" s="3"/>
      <c r="E32" s="3"/>
      <c r="F32" s="12"/>
      <c r="G32" s="9" t="s">
        <v>54</v>
      </c>
      <c r="H32" s="12"/>
      <c r="I32" s="3"/>
      <c r="J32" s="3"/>
    </row>
    <row r="33" ht="14.25" customHeight="1">
      <c r="B33" s="10" t="s">
        <v>65</v>
      </c>
      <c r="C33" s="3"/>
      <c r="D33" s="3"/>
      <c r="E33" s="3"/>
      <c r="F33" s="12"/>
      <c r="G33" s="12"/>
      <c r="H33" s="12"/>
      <c r="I33" s="3"/>
      <c r="J33" s="3"/>
    </row>
    <row r="34" ht="14.25" customHeight="1">
      <c r="B34" s="3" t="s">
        <v>66</v>
      </c>
      <c r="C34" s="26" t="s">
        <v>67</v>
      </c>
      <c r="D34" s="3">
        <v>45.0</v>
      </c>
      <c r="E34" s="3">
        <v>4500.0</v>
      </c>
      <c r="F34" s="12">
        <f t="shared" ref="F34:F37" si="16">E34*D34</f>
        <v>202500</v>
      </c>
      <c r="G34" s="12">
        <f>52500</f>
        <v>52500</v>
      </c>
      <c r="H34" s="12"/>
      <c r="I34" s="26" t="s">
        <v>68</v>
      </c>
      <c r="J34" s="12">
        <f t="shared" ref="J34:J37" si="17">F34-G34-H34</f>
        <v>150000</v>
      </c>
    </row>
    <row r="35" ht="14.25" customHeight="1">
      <c r="B35" s="3" t="s">
        <v>69</v>
      </c>
      <c r="C35" s="24"/>
      <c r="D35" s="3">
        <v>10.0</v>
      </c>
      <c r="E35" s="3">
        <v>30000.0</v>
      </c>
      <c r="F35" s="12">
        <f t="shared" si="16"/>
        <v>300000</v>
      </c>
      <c r="G35" s="12">
        <v>0.0</v>
      </c>
      <c r="H35" s="12">
        <v>200000.0</v>
      </c>
      <c r="I35" s="23"/>
      <c r="J35" s="12">
        <f t="shared" si="17"/>
        <v>100000</v>
      </c>
    </row>
    <row r="36" ht="14.25" customHeight="1">
      <c r="B36" s="3" t="s">
        <v>70</v>
      </c>
      <c r="C36" s="3" t="s">
        <v>71</v>
      </c>
      <c r="D36" s="3">
        <v>25.0</v>
      </c>
      <c r="E36" s="3">
        <v>10000.0</v>
      </c>
      <c r="F36" s="12">
        <f t="shared" si="16"/>
        <v>250000</v>
      </c>
      <c r="G36" s="12">
        <f>F36/5</f>
        <v>50000</v>
      </c>
      <c r="H36" s="12">
        <v>100000.0</v>
      </c>
      <c r="I36" s="23"/>
      <c r="J36" s="12">
        <f t="shared" si="17"/>
        <v>100000</v>
      </c>
    </row>
    <row r="37" ht="14.25" customHeight="1">
      <c r="B37" s="3" t="s">
        <v>72</v>
      </c>
      <c r="C37" s="3" t="s">
        <v>67</v>
      </c>
      <c r="D37" s="3">
        <v>25.0</v>
      </c>
      <c r="E37" s="3">
        <v>3000.0</v>
      </c>
      <c r="F37" s="12">
        <f t="shared" si="16"/>
        <v>75000</v>
      </c>
      <c r="G37" s="12">
        <v>0.0</v>
      </c>
      <c r="H37" s="12"/>
      <c r="I37" s="24"/>
      <c r="J37" s="12">
        <f t="shared" si="17"/>
        <v>75000</v>
      </c>
    </row>
    <row r="38" ht="14.25" customHeight="1">
      <c r="A38" s="17"/>
      <c r="B38" s="10"/>
      <c r="C38" s="10"/>
      <c r="D38" s="10"/>
      <c r="E38" s="10"/>
      <c r="F38" s="18">
        <f t="shared" ref="F38:J38" si="18">SUM(F34:F37)</f>
        <v>827500</v>
      </c>
      <c r="G38" s="18">
        <f t="shared" si="18"/>
        <v>102500</v>
      </c>
      <c r="H38" s="18">
        <f t="shared" si="18"/>
        <v>300000</v>
      </c>
      <c r="I38" s="18">
        <f t="shared" si="18"/>
        <v>0</v>
      </c>
      <c r="J38" s="18">
        <f t="shared" si="18"/>
        <v>425000</v>
      </c>
    </row>
    <row r="39" ht="14.25" customHeight="1">
      <c r="A39" s="7" t="s">
        <v>73</v>
      </c>
      <c r="B39" s="8" t="s">
        <v>74</v>
      </c>
      <c r="C39" s="8"/>
      <c r="D39" s="3"/>
      <c r="E39" s="3"/>
      <c r="F39" s="12"/>
      <c r="G39" s="31"/>
      <c r="H39" s="12"/>
      <c r="I39" s="3"/>
      <c r="J39" s="3"/>
    </row>
    <row r="40" ht="14.25" customHeight="1">
      <c r="B40" s="3" t="s">
        <v>75</v>
      </c>
      <c r="C40" s="3" t="s">
        <v>76</v>
      </c>
      <c r="D40" s="3">
        <v>25.0</v>
      </c>
      <c r="E40" s="3">
        <v>600.0</v>
      </c>
      <c r="F40" s="12">
        <f>D40*E40*35</f>
        <v>525000</v>
      </c>
      <c r="G40" s="31">
        <f t="shared" ref="G40:G41" si="19">F40/3</f>
        <v>175000</v>
      </c>
      <c r="H40" s="12">
        <v>100000.0</v>
      </c>
      <c r="I40" s="26" t="s">
        <v>77</v>
      </c>
      <c r="J40" s="12">
        <f t="shared" ref="J40:J41" si="20">F40-G40-H40</f>
        <v>250000</v>
      </c>
    </row>
    <row r="41" ht="14.25" customHeight="1">
      <c r="B41" s="3" t="s">
        <v>78</v>
      </c>
      <c r="C41" s="3" t="s">
        <v>79</v>
      </c>
      <c r="D41" s="3">
        <v>35.0</v>
      </c>
      <c r="E41" s="3">
        <v>3000.0</v>
      </c>
      <c r="F41" s="12">
        <f>D41*E41</f>
        <v>105000</v>
      </c>
      <c r="G41" s="31">
        <f t="shared" si="19"/>
        <v>35000</v>
      </c>
      <c r="H41" s="12">
        <v>35000.0</v>
      </c>
      <c r="I41" s="24"/>
      <c r="J41" s="12">
        <f t="shared" si="20"/>
        <v>35000</v>
      </c>
    </row>
    <row r="42" ht="14.25" customHeight="1">
      <c r="A42" s="17"/>
      <c r="B42" s="10"/>
      <c r="C42" s="10"/>
      <c r="D42" s="10"/>
      <c r="E42" s="10"/>
      <c r="F42" s="18">
        <f t="shared" ref="F42:H42" si="21">SUM(F39:F41)</f>
        <v>630000</v>
      </c>
      <c r="G42" s="18">
        <f t="shared" si="21"/>
        <v>210000</v>
      </c>
      <c r="H42" s="18">
        <f t="shared" si="21"/>
        <v>135000</v>
      </c>
      <c r="I42" s="18">
        <f>SUM(I38:I41)</f>
        <v>0</v>
      </c>
      <c r="J42" s="18">
        <f>SUM(J39:J41)</f>
        <v>285000</v>
      </c>
    </row>
    <row r="43" ht="24.75" customHeight="1">
      <c r="B43" s="32" t="s">
        <v>80</v>
      </c>
      <c r="C43" s="33"/>
      <c r="D43" s="32"/>
      <c r="E43" s="33"/>
      <c r="F43" s="34">
        <f t="shared" ref="F43:J43" si="22">F31+F24+F16+F38+F42</f>
        <v>13767800</v>
      </c>
      <c r="G43" s="34">
        <f t="shared" si="22"/>
        <v>3898450</v>
      </c>
      <c r="H43" s="34">
        <f t="shared" si="22"/>
        <v>4938600</v>
      </c>
      <c r="I43" s="34">
        <f t="shared" si="22"/>
        <v>0</v>
      </c>
      <c r="J43" s="34">
        <f t="shared" si="22"/>
        <v>4930750</v>
      </c>
    </row>
    <row r="44" ht="14.25" customHeight="1">
      <c r="A44" s="7" t="s">
        <v>81</v>
      </c>
      <c r="B44" s="35" t="s">
        <v>82</v>
      </c>
      <c r="C44" s="3"/>
      <c r="D44" s="3"/>
      <c r="E44" s="3"/>
      <c r="F44" s="12"/>
      <c r="G44" s="12"/>
      <c r="H44" s="20"/>
    </row>
    <row r="45" ht="14.25" customHeight="1">
      <c r="B45" s="21" t="s">
        <v>83</v>
      </c>
      <c r="C45" s="3"/>
      <c r="D45" s="3"/>
      <c r="E45" s="3"/>
      <c r="F45" s="12">
        <v>100000.0</v>
      </c>
      <c r="G45" s="12"/>
      <c r="H45" s="12">
        <f t="shared" ref="H45:H47" si="23">F45</f>
        <v>100000</v>
      </c>
      <c r="I45" s="22" t="s">
        <v>84</v>
      </c>
      <c r="J45" s="12">
        <f t="shared" ref="J45:J48" si="24">F45-G45-H45</f>
        <v>0</v>
      </c>
    </row>
    <row r="46" ht="14.25" customHeight="1">
      <c r="B46" s="3" t="s">
        <v>85</v>
      </c>
      <c r="C46" s="3" t="s">
        <v>86</v>
      </c>
      <c r="D46" s="3">
        <v>6.0</v>
      </c>
      <c r="E46" s="3">
        <v>10000.0</v>
      </c>
      <c r="F46" s="36">
        <f t="shared" ref="F46:F47" si="25">D46*E46</f>
        <v>60000</v>
      </c>
      <c r="G46" s="12"/>
      <c r="H46" s="12">
        <f t="shared" si="23"/>
        <v>60000</v>
      </c>
      <c r="I46" s="23"/>
      <c r="J46" s="12">
        <f t="shared" si="24"/>
        <v>0</v>
      </c>
    </row>
    <row r="47" ht="14.25" customHeight="1">
      <c r="B47" s="21" t="s">
        <v>87</v>
      </c>
      <c r="C47" s="3" t="s">
        <v>88</v>
      </c>
      <c r="D47" s="3">
        <v>60.0</v>
      </c>
      <c r="E47" s="3">
        <v>3000.0</v>
      </c>
      <c r="F47" s="36">
        <f t="shared" si="25"/>
        <v>180000</v>
      </c>
      <c r="G47" s="12"/>
      <c r="H47" s="12">
        <f t="shared" si="23"/>
        <v>180000</v>
      </c>
      <c r="I47" s="23"/>
      <c r="J47" s="12">
        <f t="shared" si="24"/>
        <v>0</v>
      </c>
    </row>
    <row r="48" ht="14.25" customHeight="1">
      <c r="B48" s="21" t="s">
        <v>89</v>
      </c>
      <c r="C48" s="3" t="s">
        <v>90</v>
      </c>
      <c r="D48" s="3">
        <v>12.0</v>
      </c>
      <c r="E48" s="3">
        <v>10000.0</v>
      </c>
      <c r="F48" s="36">
        <f>D48*12*E48</f>
        <v>1440000</v>
      </c>
      <c r="G48" s="12"/>
      <c r="H48" s="12">
        <f>D48*8500*12</f>
        <v>1224000</v>
      </c>
      <c r="I48" s="23"/>
      <c r="J48" s="12">
        <f t="shared" si="24"/>
        <v>216000</v>
      </c>
    </row>
    <row r="49" ht="14.25" customHeight="1">
      <c r="B49" s="21" t="s">
        <v>91</v>
      </c>
      <c r="C49" s="3"/>
      <c r="D49" s="3">
        <v>2000.0</v>
      </c>
      <c r="E49" s="3">
        <v>10.0</v>
      </c>
      <c r="F49" s="36">
        <f>D49*E49</f>
        <v>20000</v>
      </c>
      <c r="G49" s="12"/>
      <c r="H49" s="12">
        <f t="shared" ref="H49:H50" si="26">F49</f>
        <v>20000</v>
      </c>
      <c r="I49" s="23"/>
      <c r="J49" s="12"/>
    </row>
    <row r="50" ht="14.25" customHeight="1">
      <c r="B50" s="21" t="s">
        <v>92</v>
      </c>
      <c r="C50" s="3" t="s">
        <v>93</v>
      </c>
      <c r="D50" s="3">
        <v>1.0</v>
      </c>
      <c r="E50" s="3">
        <v>6000.0</v>
      </c>
      <c r="F50" s="36">
        <f>E50*12</f>
        <v>72000</v>
      </c>
      <c r="G50" s="12"/>
      <c r="H50" s="12">
        <f t="shared" si="26"/>
        <v>72000</v>
      </c>
      <c r="I50" s="23"/>
      <c r="J50" s="12"/>
    </row>
    <row r="51" ht="14.25" customHeight="1">
      <c r="B51" s="27" t="s">
        <v>94</v>
      </c>
      <c r="C51" s="3" t="s">
        <v>95</v>
      </c>
      <c r="D51" s="3">
        <v>24.0</v>
      </c>
      <c r="E51" s="3">
        <v>6000.0</v>
      </c>
      <c r="F51" s="36">
        <f>D51*E51</f>
        <v>144000</v>
      </c>
      <c r="G51" s="12"/>
      <c r="H51" s="12">
        <v>100000.0</v>
      </c>
      <c r="I51" s="24"/>
      <c r="J51" s="12">
        <f>F51-G51-H51</f>
        <v>44000</v>
      </c>
    </row>
    <row r="52" ht="14.25" customHeight="1">
      <c r="A52" s="17"/>
      <c r="B52" s="10"/>
      <c r="C52" s="10"/>
      <c r="D52" s="10"/>
      <c r="E52" s="10"/>
      <c r="F52" s="18">
        <f>SUM(F45:F51)</f>
        <v>2016000</v>
      </c>
      <c r="G52" s="18"/>
      <c r="H52" s="18">
        <f t="shared" ref="H52:J52" si="27">SUM(H45:H51)</f>
        <v>1756000</v>
      </c>
      <c r="I52" s="18">
        <f t="shared" si="27"/>
        <v>0</v>
      </c>
      <c r="J52" s="18">
        <f t="shared" si="27"/>
        <v>260000</v>
      </c>
    </row>
    <row r="53" ht="14.25" customHeight="1">
      <c r="A53" s="7" t="s">
        <v>96</v>
      </c>
      <c r="B53" s="35" t="s">
        <v>97</v>
      </c>
      <c r="C53" s="3"/>
      <c r="D53" s="3"/>
      <c r="E53" s="3"/>
      <c r="F53" s="12"/>
      <c r="G53" s="12"/>
      <c r="H53" s="12"/>
      <c r="I53" s="25"/>
      <c r="J53" s="3"/>
    </row>
    <row r="54" ht="14.25" customHeight="1">
      <c r="B54" s="3" t="s">
        <v>98</v>
      </c>
      <c r="C54" s="3" t="s">
        <v>99</v>
      </c>
      <c r="D54" s="3">
        <v>1.0</v>
      </c>
      <c r="E54" s="3">
        <v>18000.0</v>
      </c>
      <c r="F54" s="12">
        <f t="shared" ref="F54:F55" si="28">D54*E54*12</f>
        <v>216000</v>
      </c>
      <c r="G54" s="12"/>
      <c r="H54" s="12">
        <f>E54*8</f>
        <v>144000</v>
      </c>
      <c r="I54" s="25" t="s">
        <v>100</v>
      </c>
      <c r="J54" s="12">
        <f t="shared" ref="J54:J56" si="29">F54-G54-H54</f>
        <v>72000</v>
      </c>
    </row>
    <row r="55" ht="14.25" customHeight="1">
      <c r="B55" s="3" t="s">
        <v>101</v>
      </c>
      <c r="C55" s="3" t="s">
        <v>99</v>
      </c>
      <c r="D55" s="3">
        <v>2.0</v>
      </c>
      <c r="E55" s="3">
        <v>25000.0</v>
      </c>
      <c r="F55" s="12">
        <f t="shared" si="28"/>
        <v>600000</v>
      </c>
      <c r="G55" s="12"/>
      <c r="H55" s="12">
        <v>500000.0</v>
      </c>
      <c r="I55" s="22" t="s">
        <v>62</v>
      </c>
      <c r="J55" s="12">
        <f t="shared" si="29"/>
        <v>100000</v>
      </c>
    </row>
    <row r="56" ht="14.25" customHeight="1">
      <c r="B56" s="37" t="s">
        <v>102</v>
      </c>
      <c r="C56" s="3"/>
      <c r="D56" s="3">
        <v>30.0</v>
      </c>
      <c r="E56" s="3">
        <v>1000.0</v>
      </c>
      <c r="F56" s="12">
        <f>D56*E56</f>
        <v>30000</v>
      </c>
      <c r="G56" s="12"/>
      <c r="H56" s="12">
        <f>F56</f>
        <v>30000</v>
      </c>
      <c r="I56" s="24"/>
      <c r="J56" s="12">
        <f t="shared" si="29"/>
        <v>0</v>
      </c>
    </row>
    <row r="57" ht="14.25" customHeight="1">
      <c r="A57" s="17"/>
      <c r="B57" s="10"/>
      <c r="C57" s="10"/>
      <c r="D57" s="10"/>
      <c r="E57" s="10"/>
      <c r="F57" s="18">
        <f>SUM(F54:F56)</f>
        <v>846000</v>
      </c>
      <c r="G57" s="18"/>
      <c r="H57" s="18">
        <f>SUM(H54:H56)</f>
        <v>674000</v>
      </c>
      <c r="I57" s="38"/>
      <c r="J57" s="18">
        <f>SUM(J54:J56)</f>
        <v>172000</v>
      </c>
    </row>
    <row r="58" ht="14.25" customHeight="1">
      <c r="A58" s="7" t="s">
        <v>103</v>
      </c>
      <c r="B58" s="35" t="s">
        <v>104</v>
      </c>
      <c r="C58" s="3"/>
      <c r="D58" s="3"/>
      <c r="E58" s="3"/>
      <c r="F58" s="12"/>
      <c r="G58" s="12"/>
      <c r="H58" s="20"/>
      <c r="I58" s="3"/>
      <c r="J58" s="3"/>
    </row>
    <row r="59" ht="14.25" customHeight="1">
      <c r="B59" s="3" t="s">
        <v>105</v>
      </c>
      <c r="C59" s="3" t="s">
        <v>106</v>
      </c>
      <c r="D59" s="3">
        <v>6.0</v>
      </c>
      <c r="E59" s="3">
        <v>16000.0</v>
      </c>
      <c r="F59" s="12">
        <f t="shared" ref="F59:F61" si="30">D59*E59</f>
        <v>96000</v>
      </c>
      <c r="G59" s="12"/>
      <c r="H59" s="12">
        <f>F59</f>
        <v>96000</v>
      </c>
      <c r="I59" s="3" t="s">
        <v>62</v>
      </c>
      <c r="J59" s="12">
        <f t="shared" ref="J59:J66" si="31">F59-G59-H59</f>
        <v>0</v>
      </c>
    </row>
    <row r="60" ht="14.25" customHeight="1">
      <c r="B60" s="3" t="s">
        <v>107</v>
      </c>
      <c r="C60" s="3" t="s">
        <v>108</v>
      </c>
      <c r="D60" s="3">
        <v>50.0</v>
      </c>
      <c r="E60" s="3">
        <v>5000.0</v>
      </c>
      <c r="F60" s="12">
        <f t="shared" si="30"/>
        <v>250000</v>
      </c>
      <c r="G60" s="12"/>
      <c r="H60" s="12">
        <v>250000.0</v>
      </c>
      <c r="I60" s="3" t="s">
        <v>109</v>
      </c>
      <c r="J60" s="12">
        <f t="shared" si="31"/>
        <v>0</v>
      </c>
    </row>
    <row r="61" ht="14.25" customHeight="1">
      <c r="B61" s="3" t="s">
        <v>110</v>
      </c>
      <c r="C61" s="3" t="s">
        <v>111</v>
      </c>
      <c r="D61" s="3">
        <v>2.0</v>
      </c>
      <c r="E61" s="3">
        <v>45000.0</v>
      </c>
      <c r="F61" s="12">
        <f t="shared" si="30"/>
        <v>90000</v>
      </c>
      <c r="G61" s="12"/>
      <c r="H61" s="12">
        <v>90000.0</v>
      </c>
      <c r="I61" s="3" t="s">
        <v>109</v>
      </c>
      <c r="J61" s="12">
        <f t="shared" si="31"/>
        <v>0</v>
      </c>
    </row>
    <row r="62" ht="14.25" customHeight="1">
      <c r="B62" s="3" t="s">
        <v>112</v>
      </c>
      <c r="C62" s="3" t="s">
        <v>113</v>
      </c>
      <c r="D62" s="3">
        <v>5.0</v>
      </c>
      <c r="E62" s="3">
        <f>34000*12</f>
        <v>408000</v>
      </c>
      <c r="F62" s="12">
        <f>E62*D62</f>
        <v>2040000</v>
      </c>
      <c r="G62" s="12"/>
      <c r="H62" s="12">
        <f t="shared" ref="H62:H64" si="32">F62</f>
        <v>2040000</v>
      </c>
      <c r="I62" s="3" t="s">
        <v>114</v>
      </c>
      <c r="J62" s="12">
        <f t="shared" si="31"/>
        <v>0</v>
      </c>
    </row>
    <row r="63" ht="14.25" customHeight="1">
      <c r="B63" s="3" t="s">
        <v>115</v>
      </c>
      <c r="C63" s="3" t="s">
        <v>116</v>
      </c>
      <c r="D63" s="3">
        <v>9.0</v>
      </c>
      <c r="E63" s="3">
        <v>5500.0</v>
      </c>
      <c r="F63" s="12">
        <f>D63*E63*12</f>
        <v>594000</v>
      </c>
      <c r="G63" s="12"/>
      <c r="H63" s="12">
        <f t="shared" si="32"/>
        <v>594000</v>
      </c>
      <c r="I63" s="3" t="s">
        <v>117</v>
      </c>
      <c r="J63" s="12">
        <f t="shared" si="31"/>
        <v>0</v>
      </c>
    </row>
    <row r="64" ht="14.25" customHeight="1">
      <c r="B64" s="3" t="s">
        <v>118</v>
      </c>
      <c r="C64" s="3" t="s">
        <v>108</v>
      </c>
      <c r="D64" s="3">
        <v>80.0</v>
      </c>
      <c r="E64" s="3">
        <v>9000.0</v>
      </c>
      <c r="F64" s="12">
        <f t="shared" ref="F64:F67" si="33">E64*D64</f>
        <v>720000</v>
      </c>
      <c r="G64" s="12"/>
      <c r="H64" s="12">
        <f t="shared" si="32"/>
        <v>720000</v>
      </c>
      <c r="I64" s="3" t="s">
        <v>119</v>
      </c>
      <c r="J64" s="12">
        <f t="shared" si="31"/>
        <v>0</v>
      </c>
    </row>
    <row r="65" ht="14.25" customHeight="1">
      <c r="B65" s="3" t="s">
        <v>120</v>
      </c>
      <c r="C65" s="3" t="s">
        <v>121</v>
      </c>
      <c r="D65" s="3">
        <v>45.0</v>
      </c>
      <c r="E65" s="3">
        <v>7000.0</v>
      </c>
      <c r="F65" s="12">
        <f t="shared" si="33"/>
        <v>315000</v>
      </c>
      <c r="G65" s="12"/>
      <c r="H65" s="12">
        <v>300000.0</v>
      </c>
      <c r="I65" s="3" t="s">
        <v>122</v>
      </c>
      <c r="J65" s="12">
        <f t="shared" si="31"/>
        <v>15000</v>
      </c>
    </row>
    <row r="66" ht="14.25" customHeight="1">
      <c r="B66" s="3" t="s">
        <v>123</v>
      </c>
      <c r="C66" s="3" t="s">
        <v>124</v>
      </c>
      <c r="D66" s="3">
        <v>5.0</v>
      </c>
      <c r="E66" s="3">
        <v>50000.0</v>
      </c>
      <c r="F66" s="12">
        <f t="shared" si="33"/>
        <v>250000</v>
      </c>
      <c r="G66" s="12"/>
      <c r="H66" s="12">
        <v>200000.0</v>
      </c>
      <c r="I66" s="3" t="s">
        <v>125</v>
      </c>
      <c r="J66" s="12">
        <f t="shared" si="31"/>
        <v>50000</v>
      </c>
    </row>
    <row r="67" ht="14.25" customHeight="1">
      <c r="B67" s="16" t="s">
        <v>126</v>
      </c>
      <c r="C67" s="16" t="s">
        <v>127</v>
      </c>
      <c r="D67" s="16">
        <v>2000.0</v>
      </c>
      <c r="E67" s="16">
        <v>200.0</v>
      </c>
      <c r="F67" s="39">
        <f t="shared" si="33"/>
        <v>400000</v>
      </c>
      <c r="H67" s="20">
        <f>F67</f>
        <v>400000</v>
      </c>
      <c r="I67" s="16" t="s">
        <v>128</v>
      </c>
    </row>
    <row r="68" ht="14.25" customHeight="1">
      <c r="A68" s="17"/>
      <c r="B68" s="10"/>
      <c r="C68" s="10"/>
      <c r="D68" s="10"/>
      <c r="E68" s="10"/>
      <c r="F68" s="18">
        <f>SUM(F59:F67)</f>
        <v>4755000</v>
      </c>
      <c r="G68" s="18"/>
      <c r="H68" s="18">
        <f>SUM(H59:H67)</f>
        <v>4690000</v>
      </c>
      <c r="I68" s="18">
        <f>SUM(I59:I65)</f>
        <v>0</v>
      </c>
      <c r="J68" s="18">
        <f>SUM(J59:J66)</f>
        <v>65000</v>
      </c>
    </row>
    <row r="69" ht="14.25" customHeight="1">
      <c r="A69" s="7" t="s">
        <v>129</v>
      </c>
      <c r="B69" s="35" t="s">
        <v>130</v>
      </c>
      <c r="C69" s="3"/>
      <c r="D69" s="3"/>
      <c r="E69" s="3"/>
      <c r="F69" s="12"/>
      <c r="G69" s="12"/>
      <c r="H69" s="20"/>
    </row>
    <row r="70" ht="14.25" customHeight="1">
      <c r="B70" s="3" t="s">
        <v>131</v>
      </c>
      <c r="C70" s="3" t="s">
        <v>132</v>
      </c>
      <c r="D70" s="3">
        <v>8.0</v>
      </c>
      <c r="E70" s="3">
        <v>50000.0</v>
      </c>
      <c r="F70" s="12">
        <f>D70*E70</f>
        <v>400000</v>
      </c>
      <c r="G70" s="12"/>
      <c r="H70" s="12">
        <f t="shared" ref="H70:H74" si="34">F70</f>
        <v>400000</v>
      </c>
      <c r="I70" s="26" t="s">
        <v>133</v>
      </c>
      <c r="J70" s="12">
        <f t="shared" ref="J70:J71" si="35">F70-H70</f>
        <v>0</v>
      </c>
    </row>
    <row r="71" ht="14.25" customHeight="1">
      <c r="B71" s="3" t="s">
        <v>134</v>
      </c>
      <c r="C71" s="3" t="s">
        <v>135</v>
      </c>
      <c r="D71" s="3">
        <v>2.0</v>
      </c>
      <c r="E71" s="3">
        <v>30000.0</v>
      </c>
      <c r="F71" s="12">
        <f>E71*12</f>
        <v>360000</v>
      </c>
      <c r="G71" s="12"/>
      <c r="H71" s="12">
        <f t="shared" si="34"/>
        <v>360000</v>
      </c>
      <c r="I71" s="24"/>
      <c r="J71" s="12">
        <f t="shared" si="35"/>
        <v>0</v>
      </c>
    </row>
    <row r="72" ht="14.25" customHeight="1">
      <c r="B72" s="21" t="s">
        <v>136</v>
      </c>
      <c r="C72" s="3" t="s">
        <v>137</v>
      </c>
      <c r="D72" s="3">
        <v>1.0</v>
      </c>
      <c r="E72" s="3" t="s">
        <v>138</v>
      </c>
      <c r="F72" s="12">
        <v>150000.0</v>
      </c>
      <c r="G72" s="12"/>
      <c r="H72" s="12">
        <f t="shared" si="34"/>
        <v>150000</v>
      </c>
      <c r="I72" s="22" t="s">
        <v>139</v>
      </c>
      <c r="J72" s="12"/>
    </row>
    <row r="73" ht="14.25" customHeight="1">
      <c r="B73" s="21" t="s">
        <v>140</v>
      </c>
      <c r="C73" s="3" t="s">
        <v>141</v>
      </c>
      <c r="D73" s="3">
        <v>3.0</v>
      </c>
      <c r="E73" s="3">
        <v>50000.0</v>
      </c>
      <c r="F73" s="12">
        <f t="shared" ref="F73:F74" si="36">D73*E73</f>
        <v>150000</v>
      </c>
      <c r="G73" s="12"/>
      <c r="H73" s="12">
        <f t="shared" si="34"/>
        <v>150000</v>
      </c>
      <c r="I73" s="23"/>
      <c r="J73" s="12"/>
    </row>
    <row r="74" ht="14.25" customHeight="1">
      <c r="B74" s="3" t="s">
        <v>142</v>
      </c>
      <c r="C74" s="3" t="s">
        <v>143</v>
      </c>
      <c r="D74" s="3">
        <v>2.0</v>
      </c>
      <c r="E74" s="3">
        <v>65000.0</v>
      </c>
      <c r="F74" s="12">
        <f t="shared" si="36"/>
        <v>130000</v>
      </c>
      <c r="G74" s="12"/>
      <c r="H74" s="12">
        <f t="shared" si="34"/>
        <v>130000</v>
      </c>
      <c r="I74" s="24"/>
      <c r="J74" s="12"/>
    </row>
    <row r="75" ht="14.25" customHeight="1">
      <c r="A75" s="17"/>
      <c r="B75" s="10"/>
      <c r="C75" s="10"/>
      <c r="D75" s="10"/>
      <c r="E75" s="10"/>
      <c r="F75" s="18">
        <f t="shared" ref="F75:J75" si="37">SUM(F70:F74)</f>
        <v>1190000</v>
      </c>
      <c r="G75" s="18">
        <f t="shared" si="37"/>
        <v>0</v>
      </c>
      <c r="H75" s="18">
        <f t="shared" si="37"/>
        <v>1190000</v>
      </c>
      <c r="I75" s="18">
        <f t="shared" si="37"/>
        <v>0</v>
      </c>
      <c r="J75" s="18">
        <f t="shared" si="37"/>
        <v>0</v>
      </c>
    </row>
    <row r="76" ht="14.25" customHeight="1">
      <c r="A76" s="40"/>
      <c r="B76" s="35" t="s">
        <v>144</v>
      </c>
      <c r="C76" s="41"/>
      <c r="D76" s="41"/>
      <c r="E76" s="41"/>
      <c r="F76" s="42"/>
      <c r="G76" s="42"/>
      <c r="H76" s="42"/>
      <c r="I76" s="42"/>
      <c r="J76" s="42"/>
    </row>
    <row r="77" ht="14.25" customHeight="1">
      <c r="A77" s="40"/>
      <c r="B77" s="41" t="s">
        <v>145</v>
      </c>
      <c r="C77" s="41" t="s">
        <v>86</v>
      </c>
      <c r="D77" s="41">
        <v>6.0</v>
      </c>
      <c r="E77" s="41">
        <v>40000.0</v>
      </c>
      <c r="F77" s="12">
        <f t="shared" ref="F77:F80" si="38">D77*E77</f>
        <v>240000</v>
      </c>
      <c r="G77" s="42"/>
      <c r="H77" s="42">
        <f>F77</f>
        <v>240000</v>
      </c>
      <c r="I77" s="3" t="s">
        <v>125</v>
      </c>
      <c r="J77" s="12">
        <f t="shared" ref="J77:J82" si="39">F77-G77-H77</f>
        <v>0</v>
      </c>
    </row>
    <row r="78" ht="14.25" customHeight="1">
      <c r="A78" s="40"/>
      <c r="B78" s="41" t="s">
        <v>146</v>
      </c>
      <c r="C78" s="41" t="s">
        <v>147</v>
      </c>
      <c r="D78" s="41">
        <v>4.0</v>
      </c>
      <c r="E78" s="41">
        <v>35000.0</v>
      </c>
      <c r="F78" s="12">
        <f t="shared" si="38"/>
        <v>140000</v>
      </c>
      <c r="G78" s="42"/>
      <c r="H78" s="42">
        <f>F78/2</f>
        <v>70000</v>
      </c>
      <c r="I78" s="42" t="s">
        <v>62</v>
      </c>
      <c r="J78" s="12">
        <f t="shared" si="39"/>
        <v>70000</v>
      </c>
    </row>
    <row r="79" ht="14.25" customHeight="1">
      <c r="A79" s="40"/>
      <c r="B79" s="41" t="s">
        <v>148</v>
      </c>
      <c r="C79" s="41" t="s">
        <v>149</v>
      </c>
      <c r="D79" s="41">
        <v>12.0</v>
      </c>
      <c r="E79" s="41">
        <v>10000.0</v>
      </c>
      <c r="F79" s="12">
        <f t="shared" si="38"/>
        <v>120000</v>
      </c>
      <c r="G79" s="42"/>
      <c r="H79" s="42">
        <f t="shared" ref="H79:H82" si="40">F79</f>
        <v>120000</v>
      </c>
      <c r="I79" s="42" t="s">
        <v>150</v>
      </c>
      <c r="J79" s="12">
        <f t="shared" si="39"/>
        <v>0</v>
      </c>
    </row>
    <row r="80" ht="14.25" customHeight="1">
      <c r="A80" s="40"/>
      <c r="B80" s="41" t="s">
        <v>151</v>
      </c>
      <c r="C80" s="41" t="s">
        <v>152</v>
      </c>
      <c r="D80" s="41">
        <v>1.0</v>
      </c>
      <c r="E80" s="41">
        <v>150000.0</v>
      </c>
      <c r="F80" s="12">
        <f t="shared" si="38"/>
        <v>150000</v>
      </c>
      <c r="G80" s="42"/>
      <c r="H80" s="42">
        <f t="shared" si="40"/>
        <v>150000</v>
      </c>
      <c r="I80" s="22" t="s">
        <v>153</v>
      </c>
      <c r="J80" s="12">
        <f t="shared" si="39"/>
        <v>0</v>
      </c>
    </row>
    <row r="81" ht="14.25" customHeight="1">
      <c r="A81" s="40"/>
      <c r="B81" s="41" t="s">
        <v>154</v>
      </c>
      <c r="C81" s="41" t="s">
        <v>155</v>
      </c>
      <c r="D81" s="41">
        <v>2.0</v>
      </c>
      <c r="E81" s="41">
        <v>42000.0</v>
      </c>
      <c r="F81" s="12">
        <f>D81*E81*12</f>
        <v>1008000</v>
      </c>
      <c r="G81" s="42"/>
      <c r="H81" s="42">
        <f t="shared" si="40"/>
        <v>1008000</v>
      </c>
      <c r="I81" s="23"/>
      <c r="J81" s="12">
        <f t="shared" si="39"/>
        <v>0</v>
      </c>
    </row>
    <row r="82" ht="14.25" customHeight="1">
      <c r="A82" s="40"/>
      <c r="B82" s="3" t="s">
        <v>156</v>
      </c>
      <c r="C82" s="3"/>
      <c r="D82" s="3">
        <v>4.0</v>
      </c>
      <c r="E82" s="3">
        <v>40000.0</v>
      </c>
      <c r="F82" s="12">
        <f>E82*D82</f>
        <v>160000</v>
      </c>
      <c r="G82" s="42"/>
      <c r="H82" s="12">
        <f t="shared" si="40"/>
        <v>160000</v>
      </c>
      <c r="I82" s="24"/>
      <c r="J82" s="12">
        <f t="shared" si="39"/>
        <v>0</v>
      </c>
    </row>
    <row r="83" ht="14.25" customHeight="1">
      <c r="A83" s="10"/>
      <c r="B83" s="10"/>
      <c r="C83" s="10"/>
      <c r="D83" s="10"/>
      <c r="E83" s="10"/>
      <c r="F83" s="18">
        <f>SUM(F77:F82)</f>
        <v>1818000</v>
      </c>
      <c r="G83" s="10"/>
      <c r="H83" s="18">
        <f>SUM(H77:H82)</f>
        <v>1748000</v>
      </c>
      <c r="I83" s="10"/>
      <c r="J83" s="18">
        <f>SUM(J77:J82)</f>
        <v>70000</v>
      </c>
    </row>
    <row r="84" ht="14.25" customHeight="1">
      <c r="A84" s="43"/>
      <c r="B84" s="44" t="s">
        <v>157</v>
      </c>
      <c r="C84" s="44"/>
      <c r="D84" s="44"/>
      <c r="E84" s="44"/>
      <c r="F84" s="45">
        <f t="shared" ref="F84:J84" si="41">F83+F75+F68+F57+F52+F43</f>
        <v>24392800</v>
      </c>
      <c r="G84" s="45">
        <f t="shared" si="41"/>
        <v>3898450</v>
      </c>
      <c r="H84" s="45">
        <f t="shared" si="41"/>
        <v>14996600</v>
      </c>
      <c r="I84" s="45">
        <f t="shared" si="41"/>
        <v>0</v>
      </c>
      <c r="J84" s="45">
        <f t="shared" si="41"/>
        <v>5497750</v>
      </c>
    </row>
    <row r="85" ht="14.25" customHeight="1">
      <c r="A85" s="40"/>
      <c r="B85" s="35" t="s">
        <v>158</v>
      </c>
      <c r="C85" s="41"/>
      <c r="D85" s="41"/>
      <c r="E85" s="41"/>
      <c r="F85" s="42"/>
      <c r="G85" s="42"/>
      <c r="H85" s="42"/>
      <c r="I85" s="42"/>
      <c r="J85" s="42"/>
    </row>
    <row r="86" ht="14.25" customHeight="1">
      <c r="A86" s="7" t="s">
        <v>159</v>
      </c>
      <c r="B86" s="3" t="s">
        <v>160</v>
      </c>
      <c r="C86" s="3" t="s">
        <v>161</v>
      </c>
      <c r="D86" s="3">
        <v>0.07</v>
      </c>
      <c r="E86" s="3"/>
      <c r="F86" s="12">
        <f>F84*0.07</f>
        <v>1707496</v>
      </c>
      <c r="G86" s="12">
        <f>D86*G43</f>
        <v>272891.5</v>
      </c>
      <c r="H86" s="12">
        <v>1200000.0</v>
      </c>
      <c r="I86" s="3" t="s">
        <v>162</v>
      </c>
      <c r="J86" s="12">
        <f t="shared" ref="J86:J87" si="42">F86-G86-H86</f>
        <v>234604.5</v>
      </c>
    </row>
    <row r="87" ht="14.25" customHeight="1">
      <c r="B87" s="3" t="s">
        <v>163</v>
      </c>
      <c r="C87" s="3"/>
      <c r="D87" s="3"/>
      <c r="E87" s="3"/>
      <c r="F87" s="12">
        <v>175000.0</v>
      </c>
      <c r="G87" s="12"/>
      <c r="H87" s="20">
        <v>130000.0</v>
      </c>
      <c r="I87" s="3"/>
      <c r="J87" s="12">
        <f t="shared" si="42"/>
        <v>45000</v>
      </c>
    </row>
    <row r="88" ht="14.25" customHeight="1">
      <c r="A88" s="7" t="s">
        <v>164</v>
      </c>
      <c r="B88" s="3" t="s">
        <v>165</v>
      </c>
      <c r="C88" s="3"/>
      <c r="D88" s="3"/>
      <c r="E88" s="3"/>
      <c r="F88" s="12">
        <v>3000000.0</v>
      </c>
      <c r="G88" s="12"/>
      <c r="H88" s="20">
        <v>700000.0</v>
      </c>
      <c r="I88" s="3" t="s">
        <v>166</v>
      </c>
      <c r="J88" s="12">
        <f>F88-H88</f>
        <v>2300000</v>
      </c>
    </row>
    <row r="89" ht="14.25" customHeight="1">
      <c r="B89" s="44"/>
      <c r="C89" s="44"/>
      <c r="D89" s="44" t="s">
        <v>167</v>
      </c>
      <c r="E89" s="44"/>
      <c r="F89" s="45">
        <f t="shared" ref="F89:J89" si="43">SUM(F84:F88)</f>
        <v>29275296</v>
      </c>
      <c r="G89" s="45">
        <f t="shared" si="43"/>
        <v>4171341.5</v>
      </c>
      <c r="H89" s="45">
        <f t="shared" si="43"/>
        <v>17026600</v>
      </c>
      <c r="I89" s="45">
        <f t="shared" si="43"/>
        <v>0</v>
      </c>
      <c r="J89" s="45">
        <f t="shared" si="43"/>
        <v>8077354.5</v>
      </c>
    </row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0">
    <mergeCell ref="I70:I71"/>
    <mergeCell ref="I72:I74"/>
    <mergeCell ref="I80:I82"/>
    <mergeCell ref="I19:I23"/>
    <mergeCell ref="I27:I28"/>
    <mergeCell ref="C34:C35"/>
    <mergeCell ref="I34:I37"/>
    <mergeCell ref="I40:I41"/>
    <mergeCell ref="I45:I51"/>
    <mergeCell ref="I55:I56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